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defaultThemeVersion="166925"/>
  <mc:AlternateContent xmlns:mc="http://schemas.openxmlformats.org/markup-compatibility/2006">
    <mc:Choice Requires="x15">
      <x15ac:absPath xmlns:x15ac="http://schemas.microsoft.com/office/spreadsheetml/2010/11/ac" url="C:\Users\Nick Linford\Desktop\"/>
    </mc:Choice>
  </mc:AlternateContent>
  <xr:revisionPtr revIDLastSave="0" documentId="10_ncr:8100000_{7DAA5DA2-3D4A-43F4-A5CE-5181FEF2712D}" xr6:coauthVersionLast="34" xr6:coauthVersionMax="34" xr10:uidLastSave="{00000000-0000-0000-0000-000000000000}"/>
  <bookViews>
    <workbookView xWindow="0" yWindow="0" windowWidth="12800" windowHeight="12360" tabRatio="466" activeTab="1" xr2:uid="{00000000-000D-0000-FFFF-FFFF00000000}"/>
  </bookViews>
  <sheets>
    <sheet name="Funding-calc-non-levy" sheetId="1" r:id="rId1"/>
    <sheet name="Employer" sheetId="2" r:id="rId2"/>
  </sheets>
  <definedNames>
    <definedName name="band" localSheetId="1">!#REF!</definedName>
    <definedName name="band">!#REF!</definedName>
    <definedName name="bands" localSheetId="1">!#REF!</definedName>
    <definedName name="bands">!#REF!</definedName>
    <definedName name="costs" localSheetId="1">!#REF!</definedName>
    <definedName name="costs">!#REF!</definedName>
    <definedName name="_xlnm.Criteria" localSheetId="1">#REF!</definedName>
    <definedName name="_xlnm.Criteria">#REF!</definedName>
    <definedName name="Data" localSheetId="1">#REF!</definedName>
    <definedName name="Data">#REF!</definedName>
    <definedName name="LARS" localSheetId="1">!#REF!</definedName>
    <definedName name="LARS">!#REF!</definedName>
    <definedName name="LARS2" localSheetId="1">!#REF!</definedName>
    <definedName name="LARS2">!#REF!</definedName>
    <definedName name="Neg_price" localSheetId="1">!#REF!</definedName>
    <definedName name="Neg_price">!#REF!</definedName>
    <definedName name="_xlnm.Print_Area" localSheetId="1">Employer!$A$1:$W$47</definedName>
    <definedName name="_xlnm.Print_Area" localSheetId="0">'Funding-calc-non-levy'!$A$1:$W$47</definedName>
    <definedName name="pub" localSheetId="1">#REF!</definedName>
    <definedName name="pub">#REF!</definedName>
    <definedName name="Results" localSheetId="1">#REF!</definedName>
    <definedName name="Results">#REF!</definedName>
    <definedName name="ResultsHeader" localSheetId="1">#REF!</definedName>
    <definedName name="ResultsHeader">#REF!</definedName>
    <definedName name="ssa" localSheetId="1">!#REF!</definedName>
    <definedName name="ssa">!#REF!</definedName>
    <definedName name="starts" localSheetId="1">!#REF!</definedName>
    <definedName name="starts">!#REF!</definedName>
    <definedName name="tool" localSheetId="1">!#REF!</definedName>
    <definedName name="tool">!#REF!</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2" l="1"/>
  <c r="S202" i="2"/>
  <c r="W201" i="2"/>
  <c r="S201" i="2"/>
  <c r="R200" i="2"/>
  <c r="S200" i="2" s="1"/>
  <c r="R196" i="2"/>
  <c r="S196" i="2" s="1"/>
  <c r="E195" i="2"/>
  <c r="D195" i="2"/>
  <c r="C195" i="2"/>
  <c r="S189" i="2"/>
  <c r="S188" i="2"/>
  <c r="Q185" i="2"/>
  <c r="E182" i="2"/>
  <c r="D182" i="2"/>
  <c r="C182" i="2"/>
  <c r="P178" i="2"/>
  <c r="U176" i="2"/>
  <c r="S176" i="2"/>
  <c r="W175" i="2"/>
  <c r="S175" i="2"/>
  <c r="R174" i="2"/>
  <c r="P174" i="2"/>
  <c r="P172" i="2"/>
  <c r="R170" i="2"/>
  <c r="P170" i="2"/>
  <c r="E169" i="2"/>
  <c r="D169" i="2"/>
  <c r="C169" i="2"/>
  <c r="Q163" i="2"/>
  <c r="Q159" i="2"/>
  <c r="O159" i="2"/>
  <c r="O157" i="2"/>
  <c r="E156" i="2"/>
  <c r="D156" i="2"/>
  <c r="C156" i="2"/>
  <c r="R152" i="2"/>
  <c r="R148" i="2"/>
  <c r="P148" i="2"/>
  <c r="N148" i="2"/>
  <c r="R146" i="2"/>
  <c r="R144" i="2"/>
  <c r="P144" i="2"/>
  <c r="N144" i="2"/>
  <c r="E143" i="2"/>
  <c r="D143" i="2"/>
  <c r="C143" i="2"/>
  <c r="Q139" i="2"/>
  <c r="O135" i="2"/>
  <c r="M133" i="2"/>
  <c r="Q131" i="2"/>
  <c r="O131" i="2"/>
  <c r="E130" i="2"/>
  <c r="D130" i="2"/>
  <c r="O133" i="2" s="1"/>
  <c r="C130" i="2"/>
  <c r="O122" i="2"/>
  <c r="Q120" i="2"/>
  <c r="O120" i="2"/>
  <c r="M120" i="2"/>
  <c r="Q118" i="2"/>
  <c r="O118" i="2"/>
  <c r="E117" i="2"/>
  <c r="D117" i="2"/>
  <c r="P120" i="2" s="1"/>
  <c r="C117" i="2"/>
  <c r="Q126" i="2" s="1"/>
  <c r="P113" i="2"/>
  <c r="M110" i="2"/>
  <c r="S110" i="2" s="1"/>
  <c r="P109" i="2"/>
  <c r="N109" i="2"/>
  <c r="N107" i="2"/>
  <c r="L107" i="2"/>
  <c r="R105" i="2"/>
  <c r="E104" i="2"/>
  <c r="R109" i="2" s="1"/>
  <c r="D104" i="2"/>
  <c r="C104" i="2"/>
  <c r="Q100" i="2"/>
  <c r="M100" i="2"/>
  <c r="W98" i="2"/>
  <c r="W97" i="2"/>
  <c r="R94" i="2"/>
  <c r="Q94" i="2"/>
  <c r="N94" i="2"/>
  <c r="M94" i="2"/>
  <c r="J94" i="2"/>
  <c r="R92" i="2"/>
  <c r="Q92" i="2"/>
  <c r="N92" i="2"/>
  <c r="M92" i="2"/>
  <c r="J92" i="2"/>
  <c r="E91" i="2"/>
  <c r="D91" i="2"/>
  <c r="P94" i="2" s="1"/>
  <c r="C91" i="2"/>
  <c r="P100" i="2" s="1"/>
  <c r="I87" i="2"/>
  <c r="K83" i="2"/>
  <c r="M81" i="2"/>
  <c r="E78" i="2"/>
  <c r="N83" i="2" s="1"/>
  <c r="D78" i="2"/>
  <c r="C78" i="2"/>
  <c r="R74" i="2"/>
  <c r="N74" i="2"/>
  <c r="J74" i="2"/>
  <c r="J72" i="2"/>
  <c r="J71" i="2"/>
  <c r="R70" i="2"/>
  <c r="N70" i="2"/>
  <c r="J70" i="2"/>
  <c r="R68" i="2"/>
  <c r="N68" i="2"/>
  <c r="J68" i="2"/>
  <c r="R66" i="2"/>
  <c r="N66" i="2"/>
  <c r="J66" i="2"/>
  <c r="E65" i="2"/>
  <c r="D65" i="2"/>
  <c r="C65" i="2"/>
  <c r="Q61" i="2"/>
  <c r="M61" i="2"/>
  <c r="I61" i="2"/>
  <c r="O57" i="2"/>
  <c r="Q55" i="2"/>
  <c r="M55" i="2"/>
  <c r="I55" i="2"/>
  <c r="O53" i="2"/>
  <c r="K53" i="2"/>
  <c r="G53" i="2"/>
  <c r="E52" i="2"/>
  <c r="G57" i="2" s="1"/>
  <c r="D52" i="2"/>
  <c r="P55" i="2" s="1"/>
  <c r="C52" i="2"/>
  <c r="P61" i="2" s="1"/>
  <c r="Q44" i="2"/>
  <c r="Q18" i="2" s="1"/>
  <c r="H44" i="2"/>
  <c r="G44" i="2"/>
  <c r="M43" i="2"/>
  <c r="H43" i="2"/>
  <c r="H17" i="2" s="1"/>
  <c r="G43" i="2"/>
  <c r="G38" i="2"/>
  <c r="C36" i="2"/>
  <c r="W183" i="2" s="1"/>
  <c r="C35" i="2"/>
  <c r="W130" i="2" s="1"/>
  <c r="S33" i="2"/>
  <c r="O33" i="2"/>
  <c r="K33" i="2"/>
  <c r="G33" i="2"/>
  <c r="C32" i="2"/>
  <c r="C33" i="2" s="1"/>
  <c r="K112" i="2" s="1"/>
  <c r="R31" i="2"/>
  <c r="Q31" i="2"/>
  <c r="P31" i="2"/>
  <c r="O31" i="2"/>
  <c r="N31" i="2"/>
  <c r="M31" i="2"/>
  <c r="L31" i="2"/>
  <c r="K31" i="2"/>
  <c r="J31" i="2"/>
  <c r="I31" i="2"/>
  <c r="H31" i="2"/>
  <c r="G31" i="2"/>
  <c r="S31" i="2" s="1"/>
  <c r="R29" i="2"/>
  <c r="R33" i="2" s="1"/>
  <c r="Q29" i="2"/>
  <c r="Q33" i="2" s="1"/>
  <c r="P29" i="2"/>
  <c r="P33" i="2" s="1"/>
  <c r="O29" i="2"/>
  <c r="N29" i="2"/>
  <c r="N33" i="2" s="1"/>
  <c r="M29" i="2"/>
  <c r="M33" i="2" s="1"/>
  <c r="L29" i="2"/>
  <c r="L33" i="2" s="1"/>
  <c r="K29" i="2"/>
  <c r="J29" i="2"/>
  <c r="J33" i="2" s="1"/>
  <c r="I29" i="2"/>
  <c r="I33" i="2" s="1"/>
  <c r="H29" i="2"/>
  <c r="H33" i="2" s="1"/>
  <c r="G29" i="2"/>
  <c r="S29" i="2" s="1"/>
  <c r="C28" i="2"/>
  <c r="R52" i="2" s="1"/>
  <c r="B27" i="2"/>
  <c r="C38" i="2" s="1"/>
  <c r="Q26" i="2"/>
  <c r="M26" i="2"/>
  <c r="I26" i="2"/>
  <c r="D26" i="2"/>
  <c r="S25" i="2"/>
  <c r="R24" i="2"/>
  <c r="R26" i="2" s="1"/>
  <c r="Q24" i="2"/>
  <c r="P24" i="2"/>
  <c r="P26" i="2" s="1"/>
  <c r="O24" i="2"/>
  <c r="O26" i="2" s="1"/>
  <c r="N24" i="2"/>
  <c r="N26" i="2" s="1"/>
  <c r="M24" i="2"/>
  <c r="L24" i="2"/>
  <c r="L26" i="2" s="1"/>
  <c r="K24" i="2"/>
  <c r="K26" i="2" s="1"/>
  <c r="J24" i="2"/>
  <c r="J26" i="2" s="1"/>
  <c r="I24" i="2"/>
  <c r="H24" i="2"/>
  <c r="H26" i="2" s="1"/>
  <c r="G24" i="2"/>
  <c r="G26" i="2" s="1"/>
  <c r="D24" i="2"/>
  <c r="S23" i="2"/>
  <c r="S22" i="2"/>
  <c r="S24" i="2" s="1"/>
  <c r="B21" i="2"/>
  <c r="H18" i="2"/>
  <c r="G18" i="2"/>
  <c r="M17" i="2"/>
  <c r="G17" i="2"/>
  <c r="W11" i="2"/>
  <c r="U11" i="2"/>
  <c r="R11" i="2"/>
  <c r="Q11" i="2"/>
  <c r="P11" i="2"/>
  <c r="O11" i="2"/>
  <c r="N11" i="2"/>
  <c r="M11" i="2"/>
  <c r="L11" i="2"/>
  <c r="K11" i="2"/>
  <c r="J11" i="2"/>
  <c r="I11" i="2"/>
  <c r="H11" i="2"/>
  <c r="G11" i="2"/>
  <c r="W10" i="2"/>
  <c r="U10" i="2"/>
  <c r="R10" i="2"/>
  <c r="Q10" i="2"/>
  <c r="P10" i="2"/>
  <c r="O10" i="2"/>
  <c r="N10" i="2"/>
  <c r="M10" i="2"/>
  <c r="L10" i="2"/>
  <c r="K10" i="2"/>
  <c r="J10" i="2"/>
  <c r="I10" i="2"/>
  <c r="H10" i="2"/>
  <c r="G10" i="2"/>
  <c r="E7" i="2"/>
  <c r="F9" i="2" s="1"/>
  <c r="I12" i="2" l="1"/>
  <c r="M12" i="2"/>
  <c r="Q12" i="2"/>
  <c r="G12" i="2"/>
  <c r="K12" i="2"/>
  <c r="O12" i="2"/>
  <c r="H12" i="2"/>
  <c r="L12" i="2"/>
  <c r="P12" i="2"/>
  <c r="W12" i="2"/>
  <c r="J12" i="2"/>
  <c r="N12" i="2"/>
  <c r="R12" i="2"/>
  <c r="U12" i="2"/>
  <c r="L65" i="2"/>
  <c r="J52" i="2"/>
  <c r="L78" i="2"/>
  <c r="K104" i="2"/>
  <c r="G42" i="2"/>
  <c r="N52" i="2"/>
  <c r="L60" i="2"/>
  <c r="W68" i="2"/>
  <c r="P65" i="2"/>
  <c r="S72" i="2"/>
  <c r="J44" i="2"/>
  <c r="J18" i="2" s="1"/>
  <c r="O87" i="2"/>
  <c r="K87" i="2"/>
  <c r="P86" i="2"/>
  <c r="L86" i="2"/>
  <c r="W85" i="2"/>
  <c r="W84" i="2"/>
  <c r="W79" i="2"/>
  <c r="Q79" i="2"/>
  <c r="M79" i="2"/>
  <c r="I79" i="2"/>
  <c r="R78" i="2"/>
  <c r="N78" i="2"/>
  <c r="J78" i="2"/>
  <c r="R87" i="2"/>
  <c r="N87" i="2"/>
  <c r="J87" i="2"/>
  <c r="O86" i="2"/>
  <c r="K86" i="2"/>
  <c r="P79" i="2"/>
  <c r="L79" i="2"/>
  <c r="W78" i="2"/>
  <c r="Q78" i="2"/>
  <c r="M78" i="2"/>
  <c r="I78" i="2"/>
  <c r="P87" i="2"/>
  <c r="W86" i="2"/>
  <c r="M86" i="2"/>
  <c r="K85" i="2"/>
  <c r="N79" i="2"/>
  <c r="K78" i="2"/>
  <c r="M87" i="2"/>
  <c r="R86" i="2"/>
  <c r="J86" i="2"/>
  <c r="K79" i="2"/>
  <c r="P78" i="2"/>
  <c r="L87" i="2"/>
  <c r="Q86" i="2"/>
  <c r="I86" i="2"/>
  <c r="K84" i="2"/>
  <c r="R79" i="2"/>
  <c r="J79" i="2"/>
  <c r="O78" i="2"/>
  <c r="Q87" i="2"/>
  <c r="N91" i="2"/>
  <c r="Q99" i="2"/>
  <c r="R177" i="2"/>
  <c r="R164" i="2"/>
  <c r="R138" i="2"/>
  <c r="M99" i="2"/>
  <c r="H60" i="2"/>
  <c r="P73" i="2"/>
  <c r="S26" i="2"/>
  <c r="W185" i="2"/>
  <c r="W159" i="2"/>
  <c r="W133" i="2"/>
  <c r="W120" i="2"/>
  <c r="W94" i="2"/>
  <c r="W55" i="2"/>
  <c r="P60" i="2"/>
  <c r="W70" i="2"/>
  <c r="H73" i="2"/>
  <c r="O79" i="2"/>
  <c r="W81" i="2"/>
  <c r="W96" i="2"/>
  <c r="J43" i="2"/>
  <c r="J17" i="2" s="1"/>
  <c r="S71" i="2"/>
  <c r="F7" i="2"/>
  <c r="F8" i="2"/>
  <c r="R195" i="2"/>
  <c r="S195" i="2" s="1"/>
  <c r="P143" i="2"/>
  <c r="R169" i="2"/>
  <c r="N143" i="2"/>
  <c r="O130" i="2"/>
  <c r="P169" i="2"/>
  <c r="M130" i="2"/>
  <c r="R182" i="2"/>
  <c r="M91" i="2"/>
  <c r="Q130" i="2"/>
  <c r="Q117" i="2"/>
  <c r="R91" i="2"/>
  <c r="J91" i="2"/>
  <c r="O104" i="2"/>
  <c r="Q91" i="2"/>
  <c r="C29" i="2"/>
  <c r="I56" i="2" s="1"/>
  <c r="R57" i="2"/>
  <c r="N57" i="2"/>
  <c r="J57" i="2"/>
  <c r="Q56" i="2"/>
  <c r="W57" i="2"/>
  <c r="Q57" i="2"/>
  <c r="M57" i="2"/>
  <c r="I57" i="2"/>
  <c r="H56" i="2"/>
  <c r="P57" i="2"/>
  <c r="L57" i="2"/>
  <c r="H57" i="2"/>
  <c r="O56" i="2"/>
  <c r="K57" i="2"/>
  <c r="H65" i="2"/>
  <c r="L73" i="2"/>
  <c r="N86" i="2"/>
  <c r="R143" i="2"/>
  <c r="C34" i="2"/>
  <c r="W139" i="2" s="1"/>
  <c r="G52" i="2"/>
  <c r="K52" i="2"/>
  <c r="O52" i="2"/>
  <c r="H53" i="2"/>
  <c r="L53" i="2"/>
  <c r="P53" i="2"/>
  <c r="I54" i="2"/>
  <c r="J55" i="2"/>
  <c r="N55" i="2"/>
  <c r="R55" i="2"/>
  <c r="I60" i="2"/>
  <c r="M60" i="2"/>
  <c r="Q60" i="2"/>
  <c r="W60" i="2"/>
  <c r="J61" i="2"/>
  <c r="N61" i="2"/>
  <c r="R61" i="2"/>
  <c r="I65" i="2"/>
  <c r="M65" i="2"/>
  <c r="Q65" i="2"/>
  <c r="W65" i="2"/>
  <c r="K66" i="2"/>
  <c r="O66" i="2"/>
  <c r="M67" i="2"/>
  <c r="K68" i="2"/>
  <c r="O68" i="2"/>
  <c r="I69" i="2"/>
  <c r="K70" i="2"/>
  <c r="O70" i="2"/>
  <c r="I73" i="2"/>
  <c r="M73" i="2"/>
  <c r="Q73" i="2"/>
  <c r="W73" i="2"/>
  <c r="K74" i="2"/>
  <c r="O74" i="2"/>
  <c r="O81" i="2"/>
  <c r="K81" i="2"/>
  <c r="R81" i="2"/>
  <c r="N81" i="2"/>
  <c r="J81" i="2"/>
  <c r="M80" i="2"/>
  <c r="P81" i="2"/>
  <c r="P96" i="2"/>
  <c r="L96" i="2"/>
  <c r="O96" i="2"/>
  <c r="K96" i="2"/>
  <c r="R96" i="2"/>
  <c r="N96" i="2"/>
  <c r="J96" i="2"/>
  <c r="J95" i="2"/>
  <c r="W92" i="2"/>
  <c r="W99" i="2"/>
  <c r="S157" i="2"/>
  <c r="H52" i="2"/>
  <c r="H37" i="2" s="1"/>
  <c r="L52" i="2"/>
  <c r="P52" i="2"/>
  <c r="I53" i="2"/>
  <c r="M53" i="2"/>
  <c r="Q53" i="2"/>
  <c r="W53" i="2"/>
  <c r="J54" i="2"/>
  <c r="G55" i="2"/>
  <c r="K55" i="2"/>
  <c r="O55" i="2"/>
  <c r="W58" i="2"/>
  <c r="W59" i="2"/>
  <c r="J60" i="2"/>
  <c r="N60" i="2"/>
  <c r="R60" i="2"/>
  <c r="G61" i="2"/>
  <c r="K61" i="2"/>
  <c r="O61" i="2"/>
  <c r="J65" i="2"/>
  <c r="J37" i="2" s="1"/>
  <c r="N65" i="2"/>
  <c r="R65" i="2"/>
  <c r="H66" i="2"/>
  <c r="L66" i="2"/>
  <c r="P66" i="2"/>
  <c r="J67" i="2"/>
  <c r="H68" i="2"/>
  <c r="L68" i="2"/>
  <c r="P68" i="2"/>
  <c r="R69" i="2"/>
  <c r="H70" i="2"/>
  <c r="L70" i="2"/>
  <c r="P70" i="2"/>
  <c r="J73" i="2"/>
  <c r="N73" i="2"/>
  <c r="R73" i="2"/>
  <c r="H74" i="2"/>
  <c r="L74" i="2"/>
  <c r="P74" i="2"/>
  <c r="W83" i="2"/>
  <c r="Q83" i="2"/>
  <c r="M83" i="2"/>
  <c r="I83" i="2"/>
  <c r="J82" i="2"/>
  <c r="P83" i="2"/>
  <c r="L83" i="2"/>
  <c r="Q82" i="2"/>
  <c r="I81" i="2"/>
  <c r="Q81" i="2"/>
  <c r="O83" i="2"/>
  <c r="M96" i="2"/>
  <c r="W104" i="2"/>
  <c r="C37" i="2"/>
  <c r="W80" i="2" s="1"/>
  <c r="I52" i="2"/>
  <c r="M52" i="2"/>
  <c r="Q52" i="2"/>
  <c r="W52" i="2"/>
  <c r="J53" i="2"/>
  <c r="N53" i="2"/>
  <c r="R53" i="2"/>
  <c r="K54" i="2"/>
  <c r="H55" i="2"/>
  <c r="H40" i="2" s="1"/>
  <c r="L55" i="2"/>
  <c r="I58" i="2"/>
  <c r="I59" i="2"/>
  <c r="G60" i="2"/>
  <c r="K60" i="2"/>
  <c r="O60" i="2"/>
  <c r="H61" i="2"/>
  <c r="L61" i="2"/>
  <c r="K65" i="2"/>
  <c r="O65" i="2"/>
  <c r="I66" i="2"/>
  <c r="M66" i="2"/>
  <c r="Q66" i="2"/>
  <c r="W66" i="2"/>
  <c r="I68" i="2"/>
  <c r="M68" i="2"/>
  <c r="Q68" i="2"/>
  <c r="I70" i="2"/>
  <c r="M70" i="2"/>
  <c r="Q70" i="2"/>
  <c r="W71" i="2"/>
  <c r="U71" i="2" s="1"/>
  <c r="W72" i="2"/>
  <c r="U72" i="2" s="1"/>
  <c r="K73" i="2"/>
  <c r="O73" i="2"/>
  <c r="I74" i="2"/>
  <c r="I46" i="2" s="1"/>
  <c r="M74" i="2"/>
  <c r="Q74" i="2"/>
  <c r="L81" i="2"/>
  <c r="J83" i="2"/>
  <c r="R83" i="2"/>
  <c r="W91" i="2"/>
  <c r="Q96" i="2"/>
  <c r="L97" i="2"/>
  <c r="L98" i="2"/>
  <c r="J99" i="2"/>
  <c r="N99" i="2"/>
  <c r="R99" i="2"/>
  <c r="J100" i="2"/>
  <c r="N100" i="2"/>
  <c r="R100" i="2"/>
  <c r="O113" i="2"/>
  <c r="K113" i="2"/>
  <c r="R112" i="2"/>
  <c r="N112" i="2"/>
  <c r="W111" i="2"/>
  <c r="W110" i="2"/>
  <c r="W105" i="2"/>
  <c r="Q105" i="2"/>
  <c r="M105" i="2"/>
  <c r="P104" i="2"/>
  <c r="Q113" i="2"/>
  <c r="M113" i="2"/>
  <c r="P112" i="2"/>
  <c r="L112" i="2"/>
  <c r="O105" i="2"/>
  <c r="K105" i="2"/>
  <c r="L104" i="2"/>
  <c r="Q104" i="2"/>
  <c r="L105" i="2"/>
  <c r="U110" i="2"/>
  <c r="M112" i="2"/>
  <c r="W112" i="2"/>
  <c r="R113" i="2"/>
  <c r="P122" i="2"/>
  <c r="L122" i="2"/>
  <c r="R122" i="2"/>
  <c r="N122" i="2"/>
  <c r="Q122" i="2"/>
  <c r="W123" i="2"/>
  <c r="M126" i="2"/>
  <c r="K91" i="2"/>
  <c r="O91" i="2"/>
  <c r="K92" i="2"/>
  <c r="O92" i="2"/>
  <c r="K93" i="2"/>
  <c r="K94" i="2"/>
  <c r="S94" i="2" s="1"/>
  <c r="O94" i="2"/>
  <c r="K99" i="2"/>
  <c r="O99" i="2"/>
  <c r="K100" i="2"/>
  <c r="O100" i="2"/>
  <c r="O107" i="2"/>
  <c r="K107" i="2"/>
  <c r="W107" i="2"/>
  <c r="Q107" i="2"/>
  <c r="M107" i="2"/>
  <c r="L106" i="2"/>
  <c r="M104" i="2"/>
  <c r="R104" i="2"/>
  <c r="N105" i="2"/>
  <c r="K106" i="2"/>
  <c r="P107" i="2"/>
  <c r="W108" i="2"/>
  <c r="M111" i="2"/>
  <c r="O112" i="2"/>
  <c r="L113" i="2"/>
  <c r="M117" i="2"/>
  <c r="W117" i="2"/>
  <c r="W121" i="2"/>
  <c r="W124" i="2"/>
  <c r="W135" i="2"/>
  <c r="W146" i="2"/>
  <c r="Q146" i="2"/>
  <c r="W145" i="2"/>
  <c r="Q145" i="2"/>
  <c r="O146" i="2"/>
  <c r="P152" i="2"/>
  <c r="P151" i="2"/>
  <c r="U149" i="2"/>
  <c r="P146" i="2"/>
  <c r="N152" i="2"/>
  <c r="N151" i="2"/>
  <c r="P149" i="2"/>
  <c r="N146" i="2"/>
  <c r="N145" i="2"/>
  <c r="U150" i="2"/>
  <c r="P150" i="2"/>
  <c r="L91" i="2"/>
  <c r="P91" i="2"/>
  <c r="L92" i="2"/>
  <c r="P92" i="2"/>
  <c r="P93" i="2"/>
  <c r="L94" i="2"/>
  <c r="L99" i="2"/>
  <c r="P99" i="2"/>
  <c r="L100" i="2"/>
  <c r="W109" i="2"/>
  <c r="Q109" i="2"/>
  <c r="M109" i="2"/>
  <c r="P108" i="2"/>
  <c r="O109" i="2"/>
  <c r="K109" i="2"/>
  <c r="R108" i="2"/>
  <c r="N104" i="2"/>
  <c r="P105" i="2"/>
  <c r="M106" i="2"/>
  <c r="W106" i="2"/>
  <c r="R107" i="2"/>
  <c r="L109" i="2"/>
  <c r="U111" i="2"/>
  <c r="Q112" i="2"/>
  <c r="N113" i="2"/>
  <c r="P126" i="2"/>
  <c r="L126" i="2"/>
  <c r="R125" i="2"/>
  <c r="N125" i="2"/>
  <c r="U124" i="2"/>
  <c r="U123" i="2"/>
  <c r="P118" i="2"/>
  <c r="L118" i="2"/>
  <c r="R117" i="2"/>
  <c r="R37" i="2" s="1"/>
  <c r="N117" i="2"/>
  <c r="O126" i="2"/>
  <c r="W125" i="2"/>
  <c r="Q125" i="2"/>
  <c r="M125" i="2"/>
  <c r="R126" i="2"/>
  <c r="N126" i="2"/>
  <c r="P125" i="2"/>
  <c r="L125" i="2"/>
  <c r="N124" i="2"/>
  <c r="N123" i="2"/>
  <c r="R118" i="2"/>
  <c r="N118" i="2"/>
  <c r="P117" i="2"/>
  <c r="L117" i="2"/>
  <c r="O117" i="2"/>
  <c r="M118" i="2"/>
  <c r="W118" i="2"/>
  <c r="M122" i="2"/>
  <c r="W122" i="2"/>
  <c r="O125" i="2"/>
  <c r="R151" i="2"/>
  <c r="P161" i="2"/>
  <c r="R161" i="2"/>
  <c r="W160" i="2"/>
  <c r="Q161" i="2"/>
  <c r="R162" i="2"/>
  <c r="R43" i="2" s="1"/>
  <c r="R17" i="2" s="1"/>
  <c r="O161" i="2"/>
  <c r="W161" i="2"/>
  <c r="W174" i="2"/>
  <c r="N120" i="2"/>
  <c r="R120" i="2"/>
  <c r="P139" i="2"/>
  <c r="W138" i="2"/>
  <c r="Q138" i="2"/>
  <c r="M138" i="2"/>
  <c r="O137" i="2"/>
  <c r="O136" i="2"/>
  <c r="R131" i="2"/>
  <c r="N131" i="2"/>
  <c r="R139" i="2"/>
  <c r="N139" i="2"/>
  <c r="O138" i="2"/>
  <c r="U137" i="2"/>
  <c r="U136" i="2"/>
  <c r="N130" i="2"/>
  <c r="R130" i="2"/>
  <c r="M131" i="2"/>
  <c r="S131" i="2" s="1"/>
  <c r="M135" i="2"/>
  <c r="W137" i="2"/>
  <c r="W148" i="2"/>
  <c r="P156" i="2"/>
  <c r="Q157" i="2"/>
  <c r="R191" i="2"/>
  <c r="U189" i="2"/>
  <c r="R183" i="2"/>
  <c r="Q191" i="2"/>
  <c r="R190" i="2"/>
  <c r="W190" i="2"/>
  <c r="Q190" i="2"/>
  <c r="W188" i="2"/>
  <c r="W182" i="2"/>
  <c r="Q182" i="2"/>
  <c r="W189" i="2"/>
  <c r="U202" i="2"/>
  <c r="R198" i="2"/>
  <c r="S198" i="2" s="1"/>
  <c r="W198" i="2"/>
  <c r="U198" i="2" s="1"/>
  <c r="W197" i="2"/>
  <c r="P133" i="2"/>
  <c r="W132" i="2"/>
  <c r="M132" i="2"/>
  <c r="R133" i="2"/>
  <c r="N133" i="2"/>
  <c r="S133" i="2" s="1"/>
  <c r="R132" i="2"/>
  <c r="Q133" i="2"/>
  <c r="N138" i="2"/>
  <c r="M139" i="2"/>
  <c r="P165" i="2"/>
  <c r="O164" i="2"/>
  <c r="P157" i="2"/>
  <c r="O156" i="2"/>
  <c r="R165" i="2"/>
  <c r="W164" i="2"/>
  <c r="Q164" i="2"/>
  <c r="U163" i="2"/>
  <c r="W162" i="2"/>
  <c r="Q162" i="2"/>
  <c r="R157" i="2"/>
  <c r="W156" i="2"/>
  <c r="Q156" i="2"/>
  <c r="R156" i="2"/>
  <c r="W163" i="2"/>
  <c r="O165" i="2"/>
  <c r="W177" i="2"/>
  <c r="W184" i="2"/>
  <c r="Q183" i="2"/>
  <c r="S185" i="2"/>
  <c r="W200" i="2"/>
  <c r="U200" i="2" s="1"/>
  <c r="R203" i="2"/>
  <c r="S203" i="2" s="1"/>
  <c r="R119" i="2"/>
  <c r="L120" i="2"/>
  <c r="R135" i="2"/>
  <c r="N135" i="2"/>
  <c r="O134" i="2"/>
  <c r="P135" i="2"/>
  <c r="W134" i="2"/>
  <c r="M134" i="2"/>
  <c r="P130" i="2"/>
  <c r="P131" i="2"/>
  <c r="W131" i="2"/>
  <c r="R134" i="2"/>
  <c r="Q135" i="2"/>
  <c r="W136" i="2"/>
  <c r="P138" i="2"/>
  <c r="O139" i="2"/>
  <c r="R163" i="2"/>
  <c r="R44" i="2" s="1"/>
  <c r="R18" i="2" s="1"/>
  <c r="W157" i="2"/>
  <c r="U162" i="2"/>
  <c r="P164" i="2"/>
  <c r="Q165" i="2"/>
  <c r="W172" i="2"/>
  <c r="Q172" i="2"/>
  <c r="W171" i="2"/>
  <c r="R172" i="2"/>
  <c r="P177" i="2"/>
  <c r="R178" i="2"/>
  <c r="R187" i="2"/>
  <c r="W187" i="2"/>
  <c r="Q187" i="2"/>
  <c r="W186" i="2"/>
  <c r="Q186" i="2"/>
  <c r="U188" i="2"/>
  <c r="R204" i="2"/>
  <c r="S204" i="2" s="1"/>
  <c r="O143" i="2"/>
  <c r="O144" i="2"/>
  <c r="S144" i="2" s="1"/>
  <c r="O148" i="2"/>
  <c r="S148" i="2" s="1"/>
  <c r="O151" i="2"/>
  <c r="O152" i="2"/>
  <c r="P159" i="2"/>
  <c r="S159" i="2" s="1"/>
  <c r="Q169" i="2"/>
  <c r="W169" i="2"/>
  <c r="W173" i="2"/>
  <c r="U175" i="2"/>
  <c r="W176" i="2"/>
  <c r="Q178" i="2"/>
  <c r="R185" i="2"/>
  <c r="W195" i="2"/>
  <c r="U195" i="2" s="1"/>
  <c r="W196" i="2"/>
  <c r="U196" i="2" s="1"/>
  <c r="W199" i="2"/>
  <c r="Q143" i="2"/>
  <c r="W143" i="2"/>
  <c r="Q144" i="2"/>
  <c r="W144" i="2"/>
  <c r="W147" i="2"/>
  <c r="Q148" i="2"/>
  <c r="W149" i="2"/>
  <c r="W150" i="2"/>
  <c r="Q151" i="2"/>
  <c r="W151" i="2"/>
  <c r="Q152" i="2"/>
  <c r="W158" i="2"/>
  <c r="R159" i="2"/>
  <c r="Q170" i="2"/>
  <c r="S170" i="2" s="1"/>
  <c r="W170" i="2"/>
  <c r="Q174" i="2"/>
  <c r="S174" i="2" s="1"/>
  <c r="Q177" i="2"/>
  <c r="U201" i="2"/>
  <c r="W202" i="2"/>
  <c r="W203" i="2"/>
  <c r="U203" i="2" s="1"/>
  <c r="D22" i="1"/>
  <c r="R29" i="1"/>
  <c r="S25" i="1"/>
  <c r="S22" i="1"/>
  <c r="S23" i="1"/>
  <c r="R24" i="1"/>
  <c r="R26" i="1" s="1"/>
  <c r="P24" i="1"/>
  <c r="P26" i="1" s="1"/>
  <c r="Q24" i="1"/>
  <c r="R31" i="1"/>
  <c r="C36" i="1"/>
  <c r="C35" i="1"/>
  <c r="S175" i="1"/>
  <c r="S176" i="1"/>
  <c r="S188" i="1"/>
  <c r="S189" i="1"/>
  <c r="S201" i="1"/>
  <c r="S202" i="1"/>
  <c r="E195" i="1"/>
  <c r="R200" i="1" s="1"/>
  <c r="S200" i="1" s="1"/>
  <c r="D195" i="1"/>
  <c r="R198" i="1" s="1"/>
  <c r="S198" i="1" s="1"/>
  <c r="C195" i="1"/>
  <c r="D26" i="1"/>
  <c r="E7" i="1" s="1"/>
  <c r="F9" i="1" s="1"/>
  <c r="B27" i="1"/>
  <c r="W152" i="2" l="1"/>
  <c r="W204" i="2"/>
  <c r="W178" i="2"/>
  <c r="S190" i="2"/>
  <c r="U190" i="2" s="1"/>
  <c r="W191" i="2"/>
  <c r="W165" i="2"/>
  <c r="W126" i="2"/>
  <c r="W113" i="2"/>
  <c r="S178" i="2"/>
  <c r="S138" i="2"/>
  <c r="Q46" i="2"/>
  <c r="S74" i="2"/>
  <c r="M46" i="2"/>
  <c r="P46" i="2"/>
  <c r="S112" i="2"/>
  <c r="U112" i="2" s="1"/>
  <c r="U204" i="2"/>
  <c r="S164" i="2"/>
  <c r="U164" i="2" s="1"/>
  <c r="S87" i="2"/>
  <c r="Q158" i="2"/>
  <c r="Q147" i="2"/>
  <c r="P171" i="2"/>
  <c r="Q134" i="2"/>
  <c r="N119" i="2"/>
  <c r="O132" i="2"/>
  <c r="Q132" i="2"/>
  <c r="S132" i="2" s="1"/>
  <c r="U132" i="2" s="1"/>
  <c r="P160" i="2"/>
  <c r="O121" i="2"/>
  <c r="O108" i="2"/>
  <c r="L93" i="2"/>
  <c r="P145" i="2"/>
  <c r="P106" i="2"/>
  <c r="N106" i="2"/>
  <c r="Q80" i="2"/>
  <c r="O69" i="2"/>
  <c r="I40" i="2"/>
  <c r="G54" i="2"/>
  <c r="N80" i="2"/>
  <c r="W82" i="2"/>
  <c r="N82" i="2"/>
  <c r="N69" i="2"/>
  <c r="S68" i="2"/>
  <c r="U68" i="2" s="1"/>
  <c r="N95" i="2"/>
  <c r="K80" i="2"/>
  <c r="I67" i="2"/>
  <c r="J56" i="2"/>
  <c r="J41" i="2" s="1"/>
  <c r="H42" i="2"/>
  <c r="L56" i="2"/>
  <c r="R56" i="2"/>
  <c r="U197" i="2"/>
  <c r="R186" i="2"/>
  <c r="S186" i="2" s="1"/>
  <c r="U186" i="2" s="1"/>
  <c r="Q171" i="2"/>
  <c r="R197" i="2"/>
  <c r="S197" i="2" s="1"/>
  <c r="S182" i="2"/>
  <c r="U182" i="2" s="1"/>
  <c r="N134" i="2"/>
  <c r="P119" i="2"/>
  <c r="O160" i="2"/>
  <c r="O145" i="2"/>
  <c r="M108" i="2"/>
  <c r="R106" i="2"/>
  <c r="S92" i="2"/>
  <c r="L121" i="2"/>
  <c r="N121" i="2"/>
  <c r="I80" i="2"/>
  <c r="K69" i="2"/>
  <c r="O67" i="2"/>
  <c r="Q37" i="2"/>
  <c r="L82" i="2"/>
  <c r="I82" i="2"/>
  <c r="R82" i="2"/>
  <c r="J69" i="2"/>
  <c r="R67" i="2"/>
  <c r="R54" i="2"/>
  <c r="R95" i="2"/>
  <c r="K95" i="2"/>
  <c r="L95" i="2"/>
  <c r="K82" i="2"/>
  <c r="O80" i="2"/>
  <c r="L80" i="2"/>
  <c r="Q69" i="2"/>
  <c r="Q54" i="2"/>
  <c r="G56" i="2"/>
  <c r="P56" i="2"/>
  <c r="S172" i="2"/>
  <c r="Q184" i="2"/>
  <c r="Q173" i="2"/>
  <c r="O158" i="2"/>
  <c r="O147" i="2"/>
  <c r="P132" i="2"/>
  <c r="L119" i="2"/>
  <c r="S119" i="2" s="1"/>
  <c r="Q160" i="2"/>
  <c r="N108" i="2"/>
  <c r="L108" i="2"/>
  <c r="M121" i="2"/>
  <c r="S104" i="2"/>
  <c r="O93" i="2"/>
  <c r="P121" i="2"/>
  <c r="R121" i="2"/>
  <c r="M95" i="2"/>
  <c r="O82" i="2"/>
  <c r="K67" i="2"/>
  <c r="O54" i="2"/>
  <c r="M82" i="2"/>
  <c r="P40" i="2"/>
  <c r="N67" i="2"/>
  <c r="N54" i="2"/>
  <c r="N39" i="2" s="1"/>
  <c r="O95" i="2"/>
  <c r="P95" i="2"/>
  <c r="P80" i="2"/>
  <c r="M69" i="2"/>
  <c r="Q67" i="2"/>
  <c r="K38" i="2"/>
  <c r="M54" i="2"/>
  <c r="K56" i="2"/>
  <c r="R42" i="2"/>
  <c r="S162" i="2"/>
  <c r="Q43" i="2"/>
  <c r="Q17" i="2" s="1"/>
  <c r="S191" i="2"/>
  <c r="L46" i="2"/>
  <c r="S61" i="2"/>
  <c r="G46" i="2"/>
  <c r="P37" i="2"/>
  <c r="R40" i="2"/>
  <c r="S73" i="2"/>
  <c r="U73" i="2" s="1"/>
  <c r="U133" i="2"/>
  <c r="U170" i="2"/>
  <c r="U172" i="2"/>
  <c r="U157" i="2"/>
  <c r="U131" i="2"/>
  <c r="S183" i="2"/>
  <c r="U183" i="2" s="1"/>
  <c r="S139" i="2"/>
  <c r="U139" i="2" s="1"/>
  <c r="S135" i="2"/>
  <c r="U174" i="2"/>
  <c r="S117" i="2"/>
  <c r="U117" i="2" s="1"/>
  <c r="N43" i="2"/>
  <c r="N17" i="2" s="1"/>
  <c r="S123" i="2"/>
  <c r="S118" i="2"/>
  <c r="U118" i="2" s="1"/>
  <c r="S109" i="2"/>
  <c r="U109" i="2" s="1"/>
  <c r="S152" i="2"/>
  <c r="U152" i="2" s="1"/>
  <c r="U135" i="2"/>
  <c r="S111" i="2"/>
  <c r="M44" i="2"/>
  <c r="M18" i="2" s="1"/>
  <c r="S99" i="2"/>
  <c r="Q40" i="2"/>
  <c r="H46" i="2"/>
  <c r="S59" i="2"/>
  <c r="I44" i="2"/>
  <c r="I18" i="2" s="1"/>
  <c r="N38" i="2"/>
  <c r="M37" i="2"/>
  <c r="U104" i="2"/>
  <c r="R45" i="2"/>
  <c r="W43" i="2"/>
  <c r="W17" i="2" s="1"/>
  <c r="Q38" i="2"/>
  <c r="L37" i="2"/>
  <c r="U99" i="2"/>
  <c r="U92" i="2"/>
  <c r="S96" i="2"/>
  <c r="U96" i="2" s="1"/>
  <c r="W69" i="2"/>
  <c r="R46" i="2"/>
  <c r="Q45" i="2"/>
  <c r="N40" i="2"/>
  <c r="H38" i="2"/>
  <c r="G41" i="2"/>
  <c r="G32" i="2" s="1"/>
  <c r="L42" i="2"/>
  <c r="W42" i="2"/>
  <c r="W56" i="2"/>
  <c r="R199" i="2"/>
  <c r="S199" i="2" s="1"/>
  <c r="U199" i="2" s="1"/>
  <c r="P147" i="2"/>
  <c r="R173" i="2"/>
  <c r="N147" i="2"/>
  <c r="P134" i="2"/>
  <c r="S134" i="2" s="1"/>
  <c r="U134" i="2" s="1"/>
  <c r="R184" i="2"/>
  <c r="P173" i="2"/>
  <c r="R158" i="2"/>
  <c r="R171" i="2"/>
  <c r="S171" i="2" s="1"/>
  <c r="U171" i="2" s="1"/>
  <c r="R147" i="2"/>
  <c r="Q119" i="2"/>
  <c r="P158" i="2"/>
  <c r="O119" i="2"/>
  <c r="K108" i="2"/>
  <c r="Q106" i="2"/>
  <c r="R93" i="2"/>
  <c r="N93" i="2"/>
  <c r="J93" i="2"/>
  <c r="Q121" i="2"/>
  <c r="Q93" i="2"/>
  <c r="M93" i="2"/>
  <c r="M39" i="2" s="1"/>
  <c r="N132" i="2"/>
  <c r="M119" i="2"/>
  <c r="R160" i="2"/>
  <c r="R145" i="2"/>
  <c r="S145" i="2" s="1"/>
  <c r="U145" i="2" s="1"/>
  <c r="P82" i="2"/>
  <c r="J80" i="2"/>
  <c r="J39" i="2" s="1"/>
  <c r="P69" i="2"/>
  <c r="L67" i="2"/>
  <c r="H54" i="2"/>
  <c r="L54" i="2"/>
  <c r="O106" i="2"/>
  <c r="L69" i="2"/>
  <c r="L41" i="2" s="1"/>
  <c r="L32" i="2" s="1"/>
  <c r="H67" i="2"/>
  <c r="N56" i="2"/>
  <c r="N41" i="2" s="1"/>
  <c r="Q108" i="2"/>
  <c r="Q95" i="2"/>
  <c r="S95" i="2" s="1"/>
  <c r="H69" i="2"/>
  <c r="P54" i="2"/>
  <c r="R80" i="2"/>
  <c r="P67" i="2"/>
  <c r="S143" i="2"/>
  <c r="U143" i="2" s="1"/>
  <c r="U159" i="2"/>
  <c r="N37" i="2"/>
  <c r="S151" i="2"/>
  <c r="U151" i="2" s="1"/>
  <c r="S107" i="2"/>
  <c r="U107" i="2" s="1"/>
  <c r="S60" i="2"/>
  <c r="U60" i="2" s="1"/>
  <c r="G45" i="2"/>
  <c r="R38" i="2"/>
  <c r="W44" i="2"/>
  <c r="W18" i="2" s="1"/>
  <c r="W38" i="2"/>
  <c r="L38" i="2"/>
  <c r="S184" i="2"/>
  <c r="U184" i="2" s="1"/>
  <c r="S165" i="2"/>
  <c r="U165" i="2" s="1"/>
  <c r="S156" i="2"/>
  <c r="U156" i="2" s="1"/>
  <c r="S136" i="2"/>
  <c r="O43" i="2"/>
  <c r="O17" i="2" s="1"/>
  <c r="U138" i="2"/>
  <c r="S160" i="2"/>
  <c r="U160" i="2" s="1"/>
  <c r="S124" i="2"/>
  <c r="N44" i="2"/>
  <c r="N18" i="2" s="1"/>
  <c r="S163" i="2"/>
  <c r="S146" i="2"/>
  <c r="U146" i="2" s="1"/>
  <c r="S122" i="2"/>
  <c r="U122" i="2" s="1"/>
  <c r="S113" i="2"/>
  <c r="S100" i="2"/>
  <c r="S98" i="2"/>
  <c r="U98" i="2" s="1"/>
  <c r="L44" i="2"/>
  <c r="L18" i="2" s="1"/>
  <c r="M40" i="2"/>
  <c r="O45" i="2"/>
  <c r="I43" i="2"/>
  <c r="I17" i="2" s="1"/>
  <c r="S58" i="2"/>
  <c r="K39" i="2"/>
  <c r="J38" i="2"/>
  <c r="I37" i="2"/>
  <c r="S83" i="2"/>
  <c r="U83" i="2" s="1"/>
  <c r="S70" i="2"/>
  <c r="U70" i="2" s="1"/>
  <c r="S66" i="2"/>
  <c r="U66" i="2" s="1"/>
  <c r="O46" i="2"/>
  <c r="N45" i="2"/>
  <c r="O40" i="2"/>
  <c r="M38" i="2"/>
  <c r="N46" i="2"/>
  <c r="M45" i="2"/>
  <c r="J40" i="2"/>
  <c r="I39" i="2"/>
  <c r="O37" i="2"/>
  <c r="W61" i="2"/>
  <c r="W100" i="2"/>
  <c r="S65" i="2"/>
  <c r="U65" i="2" s="1"/>
  <c r="P42" i="2"/>
  <c r="I42" i="2"/>
  <c r="I41" i="2"/>
  <c r="J42" i="2"/>
  <c r="S130" i="2"/>
  <c r="U130" i="2" s="1"/>
  <c r="U94" i="2"/>
  <c r="U185" i="2"/>
  <c r="W74" i="2"/>
  <c r="K43" i="2"/>
  <c r="K17" i="2" s="1"/>
  <c r="S84" i="2"/>
  <c r="U84" i="2" s="1"/>
  <c r="K44" i="2"/>
  <c r="K18" i="2" s="1"/>
  <c r="S85" i="2"/>
  <c r="U85" i="2" s="1"/>
  <c r="S78" i="2"/>
  <c r="U78" i="2" s="1"/>
  <c r="S53" i="2"/>
  <c r="S57" i="2"/>
  <c r="S55" i="2"/>
  <c r="G40" i="2"/>
  <c r="W45" i="2"/>
  <c r="Q39" i="2"/>
  <c r="S52" i="2"/>
  <c r="G37" i="2"/>
  <c r="Q42" i="2"/>
  <c r="S91" i="2"/>
  <c r="U91" i="2" s="1"/>
  <c r="W40" i="2"/>
  <c r="S79" i="2"/>
  <c r="U144" i="2"/>
  <c r="S158" i="2"/>
  <c r="U158" i="2" s="1"/>
  <c r="S187" i="2"/>
  <c r="U187" i="2" s="1"/>
  <c r="S177" i="2"/>
  <c r="U177" i="2" s="1"/>
  <c r="S120" i="2"/>
  <c r="U148" i="2"/>
  <c r="S137" i="2"/>
  <c r="O44" i="2"/>
  <c r="O18" i="2" s="1"/>
  <c r="S161" i="2"/>
  <c r="U161" i="2" s="1"/>
  <c r="S125" i="2"/>
  <c r="U125" i="2" s="1"/>
  <c r="S126" i="2"/>
  <c r="U126" i="2" s="1"/>
  <c r="S150" i="2"/>
  <c r="P44" i="2"/>
  <c r="P18" i="2" s="1"/>
  <c r="S149" i="2"/>
  <c r="P43" i="2"/>
  <c r="P17" i="2" s="1"/>
  <c r="S105" i="2"/>
  <c r="U105" i="2" s="1"/>
  <c r="S97" i="2"/>
  <c r="U97" i="2" s="1"/>
  <c r="L43" i="2"/>
  <c r="L17" i="2" s="1"/>
  <c r="K45" i="2"/>
  <c r="L40" i="2"/>
  <c r="G39" i="2"/>
  <c r="U52" i="2"/>
  <c r="W37" i="2"/>
  <c r="W119" i="2"/>
  <c r="W93" i="2"/>
  <c r="S81" i="2"/>
  <c r="U81" i="2" s="1"/>
  <c r="K46" i="2"/>
  <c r="J45" i="2"/>
  <c r="K40" i="2"/>
  <c r="I38" i="2"/>
  <c r="W95" i="2"/>
  <c r="O42" i="2"/>
  <c r="W67" i="2"/>
  <c r="O38" i="2"/>
  <c r="J46" i="2"/>
  <c r="I45" i="2"/>
  <c r="W54" i="2"/>
  <c r="P38" i="2"/>
  <c r="K37" i="2"/>
  <c r="K42" i="2"/>
  <c r="O41" i="2"/>
  <c r="M42" i="2"/>
  <c r="M56" i="2"/>
  <c r="M41" i="2" s="1"/>
  <c r="M32" i="2" s="1"/>
  <c r="N42" i="2"/>
  <c r="S169" i="2"/>
  <c r="U169" i="2" s="1"/>
  <c r="P45" i="2"/>
  <c r="U120" i="2"/>
  <c r="H45" i="2"/>
  <c r="S86" i="2"/>
  <c r="U86" i="2" s="1"/>
  <c r="W87" i="2"/>
  <c r="U79" i="2"/>
  <c r="L45" i="2"/>
  <c r="U202" i="1"/>
  <c r="C37" i="1"/>
  <c r="W197" i="1" s="1"/>
  <c r="S24" i="1"/>
  <c r="S26" i="1" s="1"/>
  <c r="R33" i="1"/>
  <c r="R204" i="1"/>
  <c r="R196" i="1"/>
  <c r="W201" i="1"/>
  <c r="W195" i="1"/>
  <c r="W196" i="1"/>
  <c r="U201" i="1"/>
  <c r="W202" i="1"/>
  <c r="F7" i="1"/>
  <c r="F8" i="1"/>
  <c r="G24" i="1"/>
  <c r="U74" i="2" l="1"/>
  <c r="U113" i="2"/>
  <c r="U178" i="2"/>
  <c r="U191" i="2"/>
  <c r="U87" i="2"/>
  <c r="U100" i="2"/>
  <c r="U95" i="2"/>
  <c r="S80" i="2"/>
  <c r="U80" i="2" s="1"/>
  <c r="J14" i="2"/>
  <c r="J8" i="2" s="1"/>
  <c r="R39" i="2"/>
  <c r="R13" i="2" s="1"/>
  <c r="O39" i="2"/>
  <c r="P41" i="2"/>
  <c r="P32" i="2" s="1"/>
  <c r="P39" i="2"/>
  <c r="P47" i="2" s="1"/>
  <c r="L39" i="2"/>
  <c r="L30" i="2" s="1"/>
  <c r="L34" i="2" s="1"/>
  <c r="S121" i="2"/>
  <c r="U121" i="2" s="1"/>
  <c r="S173" i="2"/>
  <c r="U173" i="2" s="1"/>
  <c r="Q41" i="2"/>
  <c r="Q47" i="2" s="1"/>
  <c r="J32" i="2"/>
  <c r="S69" i="2"/>
  <c r="S67" i="2"/>
  <c r="H39" i="2"/>
  <c r="H30" i="2" s="1"/>
  <c r="S82" i="2"/>
  <c r="U82" i="2" s="1"/>
  <c r="S93" i="2"/>
  <c r="S108" i="2"/>
  <c r="U108" i="2" s="1"/>
  <c r="R41" i="2"/>
  <c r="R32" i="2" s="1"/>
  <c r="S106" i="2"/>
  <c r="U106" i="2" s="1"/>
  <c r="S40" i="2"/>
  <c r="U61" i="2"/>
  <c r="W46" i="2"/>
  <c r="S56" i="2"/>
  <c r="M14" i="2"/>
  <c r="M8" i="2" s="1"/>
  <c r="M47" i="2"/>
  <c r="M30" i="2"/>
  <c r="M34" i="2" s="1"/>
  <c r="M13" i="2"/>
  <c r="J13" i="2"/>
  <c r="U93" i="2"/>
  <c r="U55" i="2"/>
  <c r="U40" i="2" s="1"/>
  <c r="U45" i="2"/>
  <c r="S42" i="2"/>
  <c r="K41" i="2"/>
  <c r="K32" i="2" s="1"/>
  <c r="O47" i="2"/>
  <c r="O30" i="2"/>
  <c r="O13" i="2"/>
  <c r="O14" i="2"/>
  <c r="O8" i="2" s="1"/>
  <c r="S45" i="2"/>
  <c r="P14" i="2"/>
  <c r="P8" i="2" s="1"/>
  <c r="P30" i="2"/>
  <c r="P34" i="2" s="1"/>
  <c r="P13" i="2"/>
  <c r="Q13" i="2"/>
  <c r="J30" i="2"/>
  <c r="J34" i="2" s="1"/>
  <c r="S44" i="2"/>
  <c r="Q14" i="2"/>
  <c r="Q8" i="2" s="1"/>
  <c r="K30" i="2"/>
  <c r="K13" i="2"/>
  <c r="K14" i="2"/>
  <c r="K8" i="2" s="1"/>
  <c r="H41" i="2"/>
  <c r="U119" i="2"/>
  <c r="S54" i="2"/>
  <c r="S39" i="2" s="1"/>
  <c r="G47" i="2"/>
  <c r="G30" i="2"/>
  <c r="G13" i="2"/>
  <c r="G14" i="2"/>
  <c r="G8" i="2" s="1"/>
  <c r="S38" i="2"/>
  <c r="I32" i="2"/>
  <c r="S43" i="2"/>
  <c r="U59" i="2"/>
  <c r="U44" i="2" s="1"/>
  <c r="U18" i="2" s="1"/>
  <c r="N47" i="2"/>
  <c r="N30" i="2"/>
  <c r="N13" i="2"/>
  <c r="N14" i="2"/>
  <c r="N8" i="2" s="1"/>
  <c r="S147" i="2"/>
  <c r="U147" i="2" s="1"/>
  <c r="W41" i="2"/>
  <c r="W34" i="2" s="1"/>
  <c r="U56" i="2"/>
  <c r="Q30" i="2"/>
  <c r="J47" i="2"/>
  <c r="U37" i="2"/>
  <c r="O32" i="2"/>
  <c r="O34" i="2" s="1"/>
  <c r="W39" i="2"/>
  <c r="W14" i="2" s="1"/>
  <c r="W8" i="2" s="1"/>
  <c r="U67" i="2"/>
  <c r="W30" i="2"/>
  <c r="S37" i="2"/>
  <c r="I14" i="2"/>
  <c r="I8" i="2" s="1"/>
  <c r="I47" i="2"/>
  <c r="I30" i="2"/>
  <c r="I13" i="2"/>
  <c r="S17" i="2"/>
  <c r="U53" i="2"/>
  <c r="U38" i="2" s="1"/>
  <c r="N32" i="2"/>
  <c r="N34" i="2" s="1"/>
  <c r="U57" i="2"/>
  <c r="U42" i="2" s="1"/>
  <c r="G34" i="2"/>
  <c r="U69" i="2"/>
  <c r="L47" i="2"/>
  <c r="L13" i="2"/>
  <c r="U58" i="2"/>
  <c r="U43" i="2" s="1"/>
  <c r="U17" i="2" s="1"/>
  <c r="S18" i="2"/>
  <c r="S46" i="2"/>
  <c r="S196" i="1"/>
  <c r="S204" i="1"/>
  <c r="P81" i="1"/>
  <c r="C32" i="1"/>
  <c r="W203" i="1" s="1"/>
  <c r="G29" i="1"/>
  <c r="C38" i="1"/>
  <c r="D24" i="1"/>
  <c r="D52" i="1"/>
  <c r="D65" i="1"/>
  <c r="R68" i="1" s="1"/>
  <c r="D78" i="1"/>
  <c r="D91" i="1"/>
  <c r="D104" i="1"/>
  <c r="D117" i="1"/>
  <c r="R120" i="1" s="1"/>
  <c r="D130" i="1"/>
  <c r="D143" i="1"/>
  <c r="D156" i="1"/>
  <c r="D169" i="1"/>
  <c r="R172" i="1" s="1"/>
  <c r="D182" i="1"/>
  <c r="H44" i="1"/>
  <c r="H18" i="1" s="1"/>
  <c r="G44" i="1"/>
  <c r="G18" i="1" s="1"/>
  <c r="H43" i="1"/>
  <c r="H17" i="1" s="1"/>
  <c r="G43" i="1"/>
  <c r="G17" i="1" s="1"/>
  <c r="U46" i="2" l="1"/>
  <c r="W13" i="2"/>
  <c r="W47" i="2"/>
  <c r="L14" i="2"/>
  <c r="L8" i="2" s="1"/>
  <c r="S8" i="2" s="1"/>
  <c r="R30" i="2"/>
  <c r="R34" i="2" s="1"/>
  <c r="Q32" i="2"/>
  <c r="R14" i="2"/>
  <c r="R8" i="2" s="1"/>
  <c r="U54" i="2"/>
  <c r="U39" i="2" s="1"/>
  <c r="R47" i="2"/>
  <c r="H14" i="2"/>
  <c r="H8" i="2" s="1"/>
  <c r="G15" i="2"/>
  <c r="G7" i="2"/>
  <c r="Q34" i="2"/>
  <c r="J15" i="2"/>
  <c r="J7" i="2"/>
  <c r="J9" i="2" s="1"/>
  <c r="R15" i="2"/>
  <c r="R7" i="2"/>
  <c r="L7" i="2"/>
  <c r="W32" i="2"/>
  <c r="I34" i="2"/>
  <c r="H32" i="2"/>
  <c r="H34" i="2" s="1"/>
  <c r="H13" i="2"/>
  <c r="K47" i="2"/>
  <c r="M15" i="2"/>
  <c r="M7" i="2"/>
  <c r="M9" i="2" s="1"/>
  <c r="S41" i="2"/>
  <c r="S32" i="2" s="1"/>
  <c r="H47" i="2"/>
  <c r="I15" i="2"/>
  <c r="I7" i="2"/>
  <c r="I9" i="2" s="1"/>
  <c r="S47" i="2"/>
  <c r="S30" i="2"/>
  <c r="Q15" i="2"/>
  <c r="Q7" i="2"/>
  <c r="Q9" i="2" s="1"/>
  <c r="K34" i="2"/>
  <c r="W15" i="2"/>
  <c r="W7" i="2"/>
  <c r="W9" i="2" s="1"/>
  <c r="U30" i="2"/>
  <c r="U41" i="2"/>
  <c r="U34" i="2" s="1"/>
  <c r="N15" i="2"/>
  <c r="N7" i="2"/>
  <c r="N9" i="2" s="1"/>
  <c r="K15" i="2"/>
  <c r="K7" i="2"/>
  <c r="K9" i="2" s="1"/>
  <c r="P15" i="2"/>
  <c r="P7" i="2"/>
  <c r="P9" i="2" s="1"/>
  <c r="O15" i="2"/>
  <c r="O7" i="2"/>
  <c r="O9" i="2" s="1"/>
  <c r="O133" i="1"/>
  <c r="R133" i="1"/>
  <c r="O81" i="1"/>
  <c r="R81" i="1"/>
  <c r="M133" i="1"/>
  <c r="N146" i="1"/>
  <c r="R146" i="1"/>
  <c r="N94" i="1"/>
  <c r="R94" i="1"/>
  <c r="O159" i="1"/>
  <c r="R159" i="1"/>
  <c r="O107" i="1"/>
  <c r="R107" i="1"/>
  <c r="U196" i="1"/>
  <c r="R55" i="1"/>
  <c r="Q185" i="1"/>
  <c r="R185" i="1"/>
  <c r="J81" i="1"/>
  <c r="W198" i="1"/>
  <c r="U198" i="1" s="1"/>
  <c r="C34" i="1"/>
  <c r="W204" i="1" s="1"/>
  <c r="U204" i="1" s="1"/>
  <c r="C33" i="1"/>
  <c r="Q55" i="1"/>
  <c r="G55" i="1"/>
  <c r="H55" i="1"/>
  <c r="L81" i="1"/>
  <c r="Q81" i="1"/>
  <c r="P94" i="1"/>
  <c r="N133" i="1"/>
  <c r="P146" i="1"/>
  <c r="P55" i="1"/>
  <c r="M81" i="1"/>
  <c r="K94" i="1"/>
  <c r="L107" i="1"/>
  <c r="P133" i="1"/>
  <c r="P159" i="1"/>
  <c r="O94" i="1"/>
  <c r="O146" i="1"/>
  <c r="I81" i="1"/>
  <c r="N81" i="1"/>
  <c r="L94" i="1"/>
  <c r="P107" i="1"/>
  <c r="Q133" i="1"/>
  <c r="P172" i="1"/>
  <c r="W172" i="1"/>
  <c r="Q172" i="1"/>
  <c r="N120" i="1"/>
  <c r="Q120" i="1"/>
  <c r="M120" i="1"/>
  <c r="P120" i="1"/>
  <c r="L120" i="1"/>
  <c r="O120" i="1"/>
  <c r="N68" i="1"/>
  <c r="J68" i="1"/>
  <c r="P68" i="1"/>
  <c r="L68" i="1"/>
  <c r="H68" i="1"/>
  <c r="K68" i="1"/>
  <c r="Q68" i="1"/>
  <c r="M68" i="1"/>
  <c r="I68" i="1"/>
  <c r="O68" i="1"/>
  <c r="W185" i="1"/>
  <c r="W133" i="1"/>
  <c r="W68" i="1"/>
  <c r="W146" i="1"/>
  <c r="C28" i="1"/>
  <c r="W119" i="1"/>
  <c r="W81" i="1"/>
  <c r="W120" i="1"/>
  <c r="W94" i="1"/>
  <c r="W107" i="1"/>
  <c r="W159" i="1"/>
  <c r="L55" i="1"/>
  <c r="Q146" i="1"/>
  <c r="K55" i="1"/>
  <c r="M107" i="1"/>
  <c r="Q107" i="1"/>
  <c r="Q159" i="1"/>
  <c r="M94" i="1"/>
  <c r="Q94" i="1"/>
  <c r="N107" i="1"/>
  <c r="O55" i="1"/>
  <c r="K81" i="1"/>
  <c r="J94" i="1"/>
  <c r="K107" i="1"/>
  <c r="J55" i="1"/>
  <c r="N55" i="1"/>
  <c r="I55" i="1"/>
  <c r="M55" i="1"/>
  <c r="W55" i="1"/>
  <c r="B21" i="1"/>
  <c r="H24" i="1"/>
  <c r="H26" i="1" s="1"/>
  <c r="I24" i="1"/>
  <c r="I26" i="1" s="1"/>
  <c r="J24" i="1"/>
  <c r="J26" i="1" s="1"/>
  <c r="K24" i="1"/>
  <c r="K26" i="1" s="1"/>
  <c r="L24" i="1"/>
  <c r="L26" i="1" s="1"/>
  <c r="M24" i="1"/>
  <c r="M26" i="1" s="1"/>
  <c r="N24" i="1"/>
  <c r="N26" i="1" s="1"/>
  <c r="O24" i="1"/>
  <c r="O26" i="1" s="1"/>
  <c r="Q26" i="1"/>
  <c r="G26" i="1"/>
  <c r="R9" i="2" l="1"/>
  <c r="L9" i="2"/>
  <c r="U47" i="2"/>
  <c r="S34" i="2"/>
  <c r="L15" i="2"/>
  <c r="U14" i="2"/>
  <c r="U8" i="2" s="1"/>
  <c r="G9" i="2"/>
  <c r="H15" i="2"/>
  <c r="H7" i="2"/>
  <c r="H9" i="2" s="1"/>
  <c r="U13" i="2"/>
  <c r="U32" i="2"/>
  <c r="C29" i="1"/>
  <c r="R195" i="1"/>
  <c r="S195" i="1" s="1"/>
  <c r="R40" i="1"/>
  <c r="S133" i="1"/>
  <c r="W40" i="1"/>
  <c r="S185" i="1"/>
  <c r="S159" i="1"/>
  <c r="R203" i="1"/>
  <c r="S146" i="1"/>
  <c r="R184" i="1"/>
  <c r="R119" i="1"/>
  <c r="R132" i="1"/>
  <c r="R67" i="1"/>
  <c r="S120" i="1"/>
  <c r="S81" i="1"/>
  <c r="S107" i="1"/>
  <c r="S94" i="1"/>
  <c r="S68" i="1"/>
  <c r="S172" i="1"/>
  <c r="S55" i="1"/>
  <c r="H40" i="1"/>
  <c r="W80" i="1"/>
  <c r="W158" i="1"/>
  <c r="W106" i="1"/>
  <c r="W54" i="1"/>
  <c r="W145" i="1"/>
  <c r="W67" i="1"/>
  <c r="W184" i="1"/>
  <c r="W132" i="1"/>
  <c r="W93" i="1"/>
  <c r="W171" i="1"/>
  <c r="S7" i="2" l="1"/>
  <c r="U15" i="2"/>
  <c r="U7" i="2"/>
  <c r="U9" i="2" s="1"/>
  <c r="S9" i="2"/>
  <c r="R54" i="1"/>
  <c r="R158" i="1"/>
  <c r="G54" i="1"/>
  <c r="G39" i="1" s="1"/>
  <c r="R106" i="1"/>
  <c r="R145" i="1"/>
  <c r="R171" i="1"/>
  <c r="U195" i="1"/>
  <c r="R199" i="1"/>
  <c r="S199" i="1" s="1"/>
  <c r="R93" i="1"/>
  <c r="R80" i="1"/>
  <c r="R197" i="1"/>
  <c r="S197" i="1" s="1"/>
  <c r="W39" i="1"/>
  <c r="S40" i="1"/>
  <c r="S203" i="1"/>
  <c r="H31" i="1"/>
  <c r="I31" i="1"/>
  <c r="J31" i="1"/>
  <c r="K31" i="1"/>
  <c r="L31" i="1"/>
  <c r="M31" i="1"/>
  <c r="N31" i="1"/>
  <c r="O31" i="1"/>
  <c r="P31" i="1"/>
  <c r="Q31" i="1"/>
  <c r="H29" i="1"/>
  <c r="I29" i="1"/>
  <c r="J29" i="1"/>
  <c r="K29" i="1"/>
  <c r="L29" i="1"/>
  <c r="M29" i="1"/>
  <c r="N29" i="1"/>
  <c r="O29" i="1"/>
  <c r="P29" i="1"/>
  <c r="Q29" i="1"/>
  <c r="C182" i="1"/>
  <c r="R183" i="1" l="1"/>
  <c r="R191" i="1"/>
  <c r="R190" i="1"/>
  <c r="R182" i="1"/>
  <c r="R39" i="1"/>
  <c r="U203" i="1"/>
  <c r="U197" i="1"/>
  <c r="S29" i="1"/>
  <c r="W182" i="1"/>
  <c r="W183" i="1"/>
  <c r="P33" i="1"/>
  <c r="L33" i="1"/>
  <c r="H33" i="1"/>
  <c r="O33" i="1"/>
  <c r="Q33" i="1"/>
  <c r="M33" i="1"/>
  <c r="I33" i="1"/>
  <c r="K33" i="1"/>
  <c r="N33" i="1"/>
  <c r="J33" i="1"/>
  <c r="E182" i="1"/>
  <c r="E169" i="1"/>
  <c r="C169" i="1"/>
  <c r="R170" i="1" l="1"/>
  <c r="R178" i="1"/>
  <c r="R169" i="1"/>
  <c r="R177" i="1"/>
  <c r="R187" i="1"/>
  <c r="R186" i="1"/>
  <c r="R174" i="1"/>
  <c r="R173" i="1"/>
  <c r="W170" i="1"/>
  <c r="W169" i="1"/>
  <c r="P174" i="1"/>
  <c r="W174" i="1"/>
  <c r="W173" i="1"/>
  <c r="Q174" i="1"/>
  <c r="W186" i="1"/>
  <c r="Q187" i="1"/>
  <c r="S187" i="1" s="1"/>
  <c r="W187" i="1"/>
  <c r="U175" i="1"/>
  <c r="U189" i="1"/>
  <c r="U188" i="1"/>
  <c r="W188" i="1"/>
  <c r="Q178" i="1"/>
  <c r="Q170" i="1"/>
  <c r="W189" i="1"/>
  <c r="U176" i="1"/>
  <c r="W175" i="1"/>
  <c r="W176" i="1"/>
  <c r="E156" i="1"/>
  <c r="C156" i="1"/>
  <c r="E143" i="1"/>
  <c r="C143" i="1"/>
  <c r="E130" i="1"/>
  <c r="C130" i="1"/>
  <c r="R148" i="1" l="1"/>
  <c r="R147" i="1"/>
  <c r="R165" i="1"/>
  <c r="R157" i="1"/>
  <c r="R164" i="1"/>
  <c r="R156" i="1"/>
  <c r="R152" i="1"/>
  <c r="R144" i="1"/>
  <c r="R151" i="1"/>
  <c r="R143" i="1"/>
  <c r="R139" i="1"/>
  <c r="R131" i="1"/>
  <c r="R138" i="1"/>
  <c r="R130" i="1"/>
  <c r="R135" i="1"/>
  <c r="R134" i="1"/>
  <c r="R161" i="1"/>
  <c r="R162" i="1"/>
  <c r="R43" i="1" s="1"/>
  <c r="R17" i="1" s="1"/>
  <c r="R163" i="1"/>
  <c r="R44" i="1" s="1"/>
  <c r="R18" i="1" s="1"/>
  <c r="R160" i="1"/>
  <c r="S174" i="1"/>
  <c r="W144" i="1"/>
  <c r="W143" i="1"/>
  <c r="N135" i="1"/>
  <c r="W134" i="1"/>
  <c r="Q135" i="1"/>
  <c r="P135" i="1"/>
  <c r="M135" i="1"/>
  <c r="O135" i="1"/>
  <c r="W135" i="1"/>
  <c r="P161" i="1"/>
  <c r="W160" i="1"/>
  <c r="O161" i="1"/>
  <c r="Q161" i="1"/>
  <c r="W161" i="1"/>
  <c r="N148" i="1"/>
  <c r="P148" i="1"/>
  <c r="Q148" i="1"/>
  <c r="W148" i="1"/>
  <c r="W147" i="1"/>
  <c r="O148" i="1"/>
  <c r="P131" i="1"/>
  <c r="W130" i="1"/>
  <c r="W131" i="1"/>
  <c r="W156" i="1"/>
  <c r="W157" i="1"/>
  <c r="P150" i="1"/>
  <c r="O137" i="1"/>
  <c r="Q163" i="1"/>
  <c r="P152" i="1"/>
  <c r="Q139" i="1"/>
  <c r="O139" i="1"/>
  <c r="Q131" i="1"/>
  <c r="N139" i="1"/>
  <c r="O131" i="1"/>
  <c r="O144" i="1"/>
  <c r="Q152" i="1"/>
  <c r="O152" i="1"/>
  <c r="P144" i="1"/>
  <c r="U137" i="1"/>
  <c r="U150" i="1"/>
  <c r="Q144" i="1"/>
  <c r="P165" i="1"/>
  <c r="U136" i="1"/>
  <c r="N131" i="1"/>
  <c r="P139" i="1"/>
  <c r="Q162" i="1"/>
  <c r="Q157" i="1"/>
  <c r="U163" i="1"/>
  <c r="P157" i="1"/>
  <c r="U162" i="1"/>
  <c r="Q165" i="1"/>
  <c r="W162" i="1"/>
  <c r="W163" i="1"/>
  <c r="W149" i="1"/>
  <c r="W150" i="1"/>
  <c r="P149" i="1"/>
  <c r="U149" i="1"/>
  <c r="W136" i="1"/>
  <c r="W137" i="1"/>
  <c r="O136" i="1"/>
  <c r="E117" i="1"/>
  <c r="C117" i="1"/>
  <c r="E104" i="1"/>
  <c r="C104" i="1"/>
  <c r="E91" i="1"/>
  <c r="C91" i="1"/>
  <c r="E78" i="1"/>
  <c r="C78" i="1"/>
  <c r="E65" i="1"/>
  <c r="C65" i="1"/>
  <c r="G31" i="1"/>
  <c r="S31" i="1" s="1"/>
  <c r="E52" i="1"/>
  <c r="C52" i="1"/>
  <c r="R100" i="1" l="1"/>
  <c r="R92" i="1"/>
  <c r="R91" i="1"/>
  <c r="R99" i="1"/>
  <c r="R126" i="1"/>
  <c r="R118" i="1"/>
  <c r="R117" i="1"/>
  <c r="R125" i="1"/>
  <c r="Q43" i="1"/>
  <c r="Q17" i="1" s="1"/>
  <c r="S162" i="1"/>
  <c r="R70" i="1"/>
  <c r="R69" i="1"/>
  <c r="R83" i="1"/>
  <c r="R82" i="1"/>
  <c r="R109" i="1"/>
  <c r="R108" i="1"/>
  <c r="O44" i="1"/>
  <c r="O18" i="1" s="1"/>
  <c r="S137" i="1"/>
  <c r="R74" i="1"/>
  <c r="R66" i="1"/>
  <c r="R65" i="1"/>
  <c r="R73" i="1"/>
  <c r="P44" i="1"/>
  <c r="P18" i="1" s="1"/>
  <c r="S150" i="1"/>
  <c r="R96" i="1"/>
  <c r="R95" i="1"/>
  <c r="R122" i="1"/>
  <c r="R121" i="1"/>
  <c r="R57" i="1"/>
  <c r="R56" i="1"/>
  <c r="G56" i="1"/>
  <c r="R87" i="1"/>
  <c r="R79" i="1"/>
  <c r="R78" i="1"/>
  <c r="R86" i="1"/>
  <c r="R113" i="1"/>
  <c r="R105" i="1"/>
  <c r="R112" i="1"/>
  <c r="R104" i="1"/>
  <c r="O43" i="1"/>
  <c r="O17" i="1" s="1"/>
  <c r="S136" i="1"/>
  <c r="P43" i="1"/>
  <c r="P17" i="1" s="1"/>
  <c r="S149" i="1"/>
  <c r="Q44" i="1"/>
  <c r="Q18" i="1" s="1"/>
  <c r="S163" i="1"/>
  <c r="G52" i="1"/>
  <c r="W52" i="1"/>
  <c r="R52" i="1"/>
  <c r="R53" i="1"/>
  <c r="R61" i="1"/>
  <c r="R60" i="1"/>
  <c r="G37" i="1"/>
  <c r="S148" i="1"/>
  <c r="S135" i="1"/>
  <c r="S161" i="1"/>
  <c r="W79" i="1"/>
  <c r="W78" i="1"/>
  <c r="W104" i="1"/>
  <c r="W105" i="1"/>
  <c r="N83" i="1"/>
  <c r="J83" i="1"/>
  <c r="Q83" i="1"/>
  <c r="M83" i="1"/>
  <c r="I83" i="1"/>
  <c r="P83" i="1"/>
  <c r="L83" i="1"/>
  <c r="K83" i="1"/>
  <c r="W83" i="1"/>
  <c r="W82" i="1"/>
  <c r="O83" i="1"/>
  <c r="P109" i="1"/>
  <c r="L109" i="1"/>
  <c r="W108" i="1"/>
  <c r="O109" i="1"/>
  <c r="K109" i="1"/>
  <c r="N109" i="1"/>
  <c r="Q109" i="1"/>
  <c r="M109" i="1"/>
  <c r="W109" i="1"/>
  <c r="W118" i="1"/>
  <c r="W117" i="1"/>
  <c r="J66" i="1"/>
  <c r="W66" i="1"/>
  <c r="W65" i="1"/>
  <c r="W91" i="1"/>
  <c r="W92" i="1"/>
  <c r="P70" i="1"/>
  <c r="L70" i="1"/>
  <c r="H70" i="1"/>
  <c r="N70" i="1"/>
  <c r="J70" i="1"/>
  <c r="O70" i="1"/>
  <c r="K70" i="1"/>
  <c r="Q70" i="1"/>
  <c r="M70" i="1"/>
  <c r="I70" i="1"/>
  <c r="H69" i="1"/>
  <c r="N96" i="1"/>
  <c r="J96" i="1"/>
  <c r="Q96" i="1"/>
  <c r="M96" i="1"/>
  <c r="P96" i="1"/>
  <c r="L96" i="1"/>
  <c r="O96" i="1"/>
  <c r="K96" i="1"/>
  <c r="P122" i="1"/>
  <c r="L122" i="1"/>
  <c r="O122" i="1"/>
  <c r="N122" i="1"/>
  <c r="W122" i="1"/>
  <c r="W121" i="1"/>
  <c r="Q122" i="1"/>
  <c r="M122" i="1"/>
  <c r="O57" i="1"/>
  <c r="K57" i="1"/>
  <c r="G57" i="1"/>
  <c r="M57" i="1"/>
  <c r="N57" i="1"/>
  <c r="J57" i="1"/>
  <c r="I57" i="1"/>
  <c r="I42" i="1" s="1"/>
  <c r="P57" i="1"/>
  <c r="L57" i="1"/>
  <c r="H57" i="1"/>
  <c r="Q57" i="1"/>
  <c r="W57" i="1"/>
  <c r="W56" i="1"/>
  <c r="W61" i="1"/>
  <c r="W59" i="1"/>
  <c r="W58" i="1"/>
  <c r="W60" i="1"/>
  <c r="W53" i="1"/>
  <c r="W96" i="1"/>
  <c r="W95" i="1"/>
  <c r="W70" i="1"/>
  <c r="W69" i="1"/>
  <c r="L53" i="1"/>
  <c r="M111" i="1"/>
  <c r="K85" i="1"/>
  <c r="K84" i="1"/>
  <c r="L98" i="1"/>
  <c r="I59" i="1"/>
  <c r="I58" i="1"/>
  <c r="J72" i="1"/>
  <c r="J71" i="1"/>
  <c r="N124" i="1"/>
  <c r="Q183" i="1"/>
  <c r="S183" i="1" s="1"/>
  <c r="P170" i="1"/>
  <c r="S170" i="1" s="1"/>
  <c r="N144" i="1"/>
  <c r="S144" i="1" s="1"/>
  <c r="M131" i="1"/>
  <c r="S131" i="1" s="1"/>
  <c r="O157" i="1"/>
  <c r="S157" i="1" s="1"/>
  <c r="M100" i="1"/>
  <c r="M113" i="1"/>
  <c r="K92" i="1"/>
  <c r="O105" i="1"/>
  <c r="L113" i="1"/>
  <c r="W177" i="1"/>
  <c r="W190" i="1"/>
  <c r="K105" i="1"/>
  <c r="W138" i="1"/>
  <c r="O92" i="1"/>
  <c r="K61" i="1"/>
  <c r="J87" i="1"/>
  <c r="P113" i="1"/>
  <c r="W151" i="1"/>
  <c r="W164" i="1"/>
  <c r="J79" i="1"/>
  <c r="P100" i="1"/>
  <c r="O79" i="1"/>
  <c r="N92" i="1"/>
  <c r="J92" i="1"/>
  <c r="N105" i="1"/>
  <c r="W110" i="1"/>
  <c r="I74" i="1"/>
  <c r="P87" i="1"/>
  <c r="L87" i="1"/>
  <c r="O100" i="1"/>
  <c r="K100" i="1"/>
  <c r="O113" i="1"/>
  <c r="L118" i="1"/>
  <c r="N118" i="1"/>
  <c r="O126" i="1"/>
  <c r="W125" i="1"/>
  <c r="K74" i="1"/>
  <c r="M87" i="1"/>
  <c r="L100" i="1"/>
  <c r="O118" i="1"/>
  <c r="P126" i="1"/>
  <c r="O74" i="1"/>
  <c r="N79" i="1"/>
  <c r="Q92" i="1"/>
  <c r="M92" i="1"/>
  <c r="L97" i="1"/>
  <c r="U111" i="1"/>
  <c r="Q105" i="1"/>
  <c r="M105" i="1"/>
  <c r="U110" i="1"/>
  <c r="I61" i="1"/>
  <c r="O87" i="1"/>
  <c r="K87" i="1"/>
  <c r="N100" i="1"/>
  <c r="N113" i="1"/>
  <c r="Q118" i="1"/>
  <c r="M118" i="1"/>
  <c r="N126" i="1"/>
  <c r="Q53" i="1"/>
  <c r="I79" i="1"/>
  <c r="K79" i="1"/>
  <c r="K113" i="1"/>
  <c r="P92" i="1"/>
  <c r="L92" i="1"/>
  <c r="P105" i="1"/>
  <c r="L105" i="1"/>
  <c r="N87" i="1"/>
  <c r="Q100" i="1"/>
  <c r="Q113" i="1"/>
  <c r="P118" i="1"/>
  <c r="N123" i="1"/>
  <c r="Q126" i="1"/>
  <c r="M126" i="1"/>
  <c r="U123" i="1"/>
  <c r="U124" i="1"/>
  <c r="W123" i="1"/>
  <c r="W124" i="1"/>
  <c r="M110" i="1"/>
  <c r="W112" i="1"/>
  <c r="W111" i="1"/>
  <c r="W97" i="1"/>
  <c r="W98" i="1"/>
  <c r="W99" i="1"/>
  <c r="P61" i="1"/>
  <c r="H61" i="1"/>
  <c r="P53" i="1"/>
  <c r="G61" i="1"/>
  <c r="N74" i="1"/>
  <c r="J74" i="1"/>
  <c r="O53" i="1"/>
  <c r="I53" i="1"/>
  <c r="N61" i="1"/>
  <c r="J61" i="1"/>
  <c r="Q74" i="1"/>
  <c r="M74" i="1"/>
  <c r="Q79" i="1"/>
  <c r="M79" i="1"/>
  <c r="W73" i="1"/>
  <c r="L61" i="1"/>
  <c r="K53" i="1"/>
  <c r="M53" i="1"/>
  <c r="H53" i="1"/>
  <c r="M61" i="1"/>
  <c r="L74" i="1"/>
  <c r="P79" i="1"/>
  <c r="L79" i="1"/>
  <c r="W86" i="1"/>
  <c r="W84" i="1"/>
  <c r="W85" i="1"/>
  <c r="Q66" i="1"/>
  <c r="M66" i="1"/>
  <c r="I66" i="1"/>
  <c r="W71" i="1"/>
  <c r="P66" i="1"/>
  <c r="L66" i="1"/>
  <c r="O66" i="1"/>
  <c r="K66" i="1"/>
  <c r="W72" i="1"/>
  <c r="N66" i="1"/>
  <c r="H66" i="1"/>
  <c r="G33" i="1"/>
  <c r="S33" i="1" s="1"/>
  <c r="G53" i="1"/>
  <c r="N53" i="1"/>
  <c r="J53" i="1"/>
  <c r="R37" i="1" l="1"/>
  <c r="M43" i="1"/>
  <c r="M17" i="1" s="1"/>
  <c r="S110" i="1"/>
  <c r="J43" i="1"/>
  <c r="J17" i="1" s="1"/>
  <c r="S71" i="1"/>
  <c r="W44" i="1"/>
  <c r="J44" i="1"/>
  <c r="J18" i="1" s="1"/>
  <c r="S72" i="1"/>
  <c r="U72" i="1" s="1"/>
  <c r="K44" i="1"/>
  <c r="K18" i="1" s="1"/>
  <c r="S85" i="1"/>
  <c r="R46" i="1"/>
  <c r="R41" i="1"/>
  <c r="L43" i="1"/>
  <c r="L17" i="1" s="1"/>
  <c r="S97" i="1"/>
  <c r="L44" i="1"/>
  <c r="L18" i="1" s="1"/>
  <c r="S98" i="1"/>
  <c r="U98" i="1" s="1"/>
  <c r="K43" i="1"/>
  <c r="K17" i="1" s="1"/>
  <c r="S84" i="1"/>
  <c r="R45" i="1"/>
  <c r="R11" i="1" s="1"/>
  <c r="N43" i="1"/>
  <c r="N17" i="1" s="1"/>
  <c r="S123" i="1"/>
  <c r="N44" i="1"/>
  <c r="N18" i="1" s="1"/>
  <c r="S124" i="1"/>
  <c r="M44" i="1"/>
  <c r="M18" i="1" s="1"/>
  <c r="S111" i="1"/>
  <c r="W43" i="1"/>
  <c r="R38" i="1"/>
  <c r="R10" i="1" s="1"/>
  <c r="R42" i="1"/>
  <c r="W38" i="1"/>
  <c r="W37" i="1"/>
  <c r="W45" i="1"/>
  <c r="S66" i="1"/>
  <c r="U66" i="1" s="1"/>
  <c r="S79" i="1"/>
  <c r="U79" i="1" s="1"/>
  <c r="S92" i="1"/>
  <c r="U92" i="1" s="1"/>
  <c r="S105" i="1"/>
  <c r="U105" i="1" s="1"/>
  <c r="G38" i="1"/>
  <c r="S53" i="1"/>
  <c r="S113" i="1"/>
  <c r="S118" i="1"/>
  <c r="U118" i="1" s="1"/>
  <c r="I43" i="1"/>
  <c r="I17" i="1" s="1"/>
  <c r="S17" i="1" s="1"/>
  <c r="S58" i="1"/>
  <c r="S43" i="1" s="1"/>
  <c r="I44" i="1"/>
  <c r="I18" i="1" s="1"/>
  <c r="S59" i="1"/>
  <c r="G46" i="1"/>
  <c r="G42" i="1"/>
  <c r="S57" i="1"/>
  <c r="S83" i="1"/>
  <c r="S70" i="1"/>
  <c r="S122" i="1"/>
  <c r="S96" i="1"/>
  <c r="S109" i="1"/>
  <c r="W18" i="1"/>
  <c r="N38" i="1"/>
  <c r="H38" i="1"/>
  <c r="W17" i="1"/>
  <c r="L38" i="1"/>
  <c r="M38" i="1"/>
  <c r="K46" i="1"/>
  <c r="I38" i="1"/>
  <c r="P38" i="1"/>
  <c r="L42" i="1"/>
  <c r="J38" i="1"/>
  <c r="K38" i="1"/>
  <c r="O38" i="1"/>
  <c r="Q38" i="1"/>
  <c r="K42" i="1"/>
  <c r="U97" i="1"/>
  <c r="U131" i="1"/>
  <c r="U157" i="1"/>
  <c r="U183" i="1"/>
  <c r="M42" i="1"/>
  <c r="M40" i="1"/>
  <c r="G40" i="1"/>
  <c r="H42" i="1"/>
  <c r="K40" i="1"/>
  <c r="L40" i="1"/>
  <c r="I40" i="1"/>
  <c r="U170" i="1"/>
  <c r="J42" i="1"/>
  <c r="I87" i="1"/>
  <c r="H74" i="1"/>
  <c r="L126" i="1"/>
  <c r="P178" i="1"/>
  <c r="S178" i="1" s="1"/>
  <c r="Q191" i="1"/>
  <c r="S191" i="1" s="1"/>
  <c r="N152" i="1"/>
  <c r="S152" i="1" s="1"/>
  <c r="M139" i="1"/>
  <c r="O165" i="1"/>
  <c r="S165" i="1" s="1"/>
  <c r="J100" i="1"/>
  <c r="P65" i="1"/>
  <c r="Q86" i="1"/>
  <c r="N91" i="1"/>
  <c r="O52" i="1"/>
  <c r="K52" i="1"/>
  <c r="P60" i="1"/>
  <c r="Q65" i="1"/>
  <c r="P73" i="1"/>
  <c r="Q78" i="1"/>
  <c r="N86" i="1"/>
  <c r="Q52" i="1"/>
  <c r="Q60" i="1"/>
  <c r="O65" i="1"/>
  <c r="L91" i="1"/>
  <c r="L104" i="1"/>
  <c r="P117" i="1"/>
  <c r="P52" i="1"/>
  <c r="O60" i="1"/>
  <c r="M65" i="1"/>
  <c r="Q73" i="1"/>
  <c r="J78" i="1"/>
  <c r="L65" i="1"/>
  <c r="L117" i="1"/>
  <c r="L125" i="1"/>
  <c r="M117" i="1"/>
  <c r="O99" i="1"/>
  <c r="I60" i="1"/>
  <c r="M99" i="1"/>
  <c r="J60" i="1"/>
  <c r="N73" i="1"/>
  <c r="M78" i="1"/>
  <c r="G60" i="1"/>
  <c r="M104" i="1"/>
  <c r="K104" i="1"/>
  <c r="N117" i="1"/>
  <c r="I52" i="1"/>
  <c r="H60" i="1"/>
  <c r="H52" i="1"/>
  <c r="O86" i="1"/>
  <c r="O78" i="1"/>
  <c r="P112" i="1"/>
  <c r="M112" i="1"/>
  <c r="N112" i="1"/>
  <c r="J65" i="1"/>
  <c r="H65" i="1"/>
  <c r="M73" i="1"/>
  <c r="O73" i="1"/>
  <c r="P86" i="1"/>
  <c r="M86" i="1"/>
  <c r="L78" i="1"/>
  <c r="O91" i="1"/>
  <c r="Q91" i="1"/>
  <c r="J91" i="1"/>
  <c r="N104" i="1"/>
  <c r="K112" i="1"/>
  <c r="O112" i="1"/>
  <c r="P99" i="1"/>
  <c r="O125" i="1"/>
  <c r="O117" i="1"/>
  <c r="L52" i="1"/>
  <c r="J52" i="1"/>
  <c r="K60" i="1"/>
  <c r="L60" i="1"/>
  <c r="M60" i="1"/>
  <c r="I65" i="1"/>
  <c r="N65" i="1"/>
  <c r="J73" i="1"/>
  <c r="K73" i="1"/>
  <c r="K86" i="1"/>
  <c r="I78" i="1"/>
  <c r="K78" i="1"/>
  <c r="J86" i="1"/>
  <c r="P78" i="1"/>
  <c r="I86" i="1"/>
  <c r="P91" i="1"/>
  <c r="Q99" i="1"/>
  <c r="J99" i="1"/>
  <c r="O104" i="1"/>
  <c r="P104" i="1"/>
  <c r="H73" i="1"/>
  <c r="P125" i="1"/>
  <c r="Q117" i="1"/>
  <c r="U144" i="1"/>
  <c r="M52" i="1"/>
  <c r="N52" i="1"/>
  <c r="N60" i="1"/>
  <c r="K65" i="1"/>
  <c r="L73" i="1"/>
  <c r="I73" i="1"/>
  <c r="L86" i="1"/>
  <c r="N78" i="1"/>
  <c r="M91" i="1"/>
  <c r="L112" i="1"/>
  <c r="Q104" i="1"/>
  <c r="Q112" i="1"/>
  <c r="N99" i="1"/>
  <c r="K99" i="1"/>
  <c r="L99" i="1"/>
  <c r="N125" i="1"/>
  <c r="W191" i="1"/>
  <c r="W178" i="1"/>
  <c r="W139" i="1"/>
  <c r="W165" i="1"/>
  <c r="W152" i="1"/>
  <c r="Q87" i="1"/>
  <c r="Q125" i="1"/>
  <c r="P74" i="1"/>
  <c r="O61" i="1"/>
  <c r="W113" i="1"/>
  <c r="Q190" i="1"/>
  <c r="S190" i="1" s="1"/>
  <c r="P177" i="1"/>
  <c r="Q177" i="1"/>
  <c r="P138" i="1"/>
  <c r="Q138" i="1"/>
  <c r="M138" i="1"/>
  <c r="O164" i="1"/>
  <c r="N151" i="1"/>
  <c r="P164" i="1"/>
  <c r="P151" i="1"/>
  <c r="N138" i="1"/>
  <c r="O151" i="1"/>
  <c r="O138" i="1"/>
  <c r="Q151" i="1"/>
  <c r="Q164" i="1"/>
  <c r="W74" i="1"/>
  <c r="W87" i="1"/>
  <c r="M125" i="1"/>
  <c r="K91" i="1"/>
  <c r="Q182" i="1"/>
  <c r="S182" i="1" s="1"/>
  <c r="P169" i="1"/>
  <c r="Q169" i="1"/>
  <c r="N143" i="1"/>
  <c r="M130" i="1"/>
  <c r="N130" i="1"/>
  <c r="O130" i="1"/>
  <c r="Q143" i="1"/>
  <c r="P130" i="1"/>
  <c r="P156" i="1"/>
  <c r="O156" i="1"/>
  <c r="Q130" i="1"/>
  <c r="Q156" i="1"/>
  <c r="P143" i="1"/>
  <c r="O143" i="1"/>
  <c r="U85" i="1"/>
  <c r="Q61" i="1"/>
  <c r="W100" i="1"/>
  <c r="W126" i="1"/>
  <c r="U84" i="1"/>
  <c r="U71" i="1"/>
  <c r="S18" i="1" l="1"/>
  <c r="R14" i="1"/>
  <c r="R8" i="1" s="1"/>
  <c r="R13" i="1"/>
  <c r="R7" i="1" s="1"/>
  <c r="R30" i="1"/>
  <c r="R47" i="1"/>
  <c r="R32" i="1"/>
  <c r="S44" i="1"/>
  <c r="S78" i="1"/>
  <c r="U78" i="1" s="1"/>
  <c r="W46" i="1"/>
  <c r="W11" i="1" s="1"/>
  <c r="S86" i="1"/>
  <c r="U86" i="1" s="1"/>
  <c r="S169" i="1"/>
  <c r="U169" i="1" s="1"/>
  <c r="S138" i="1"/>
  <c r="U138" i="1" s="1"/>
  <c r="S177" i="1"/>
  <c r="U177" i="1" s="1"/>
  <c r="R12" i="1"/>
  <c r="S52" i="1"/>
  <c r="S156" i="1"/>
  <c r="U156" i="1" s="1"/>
  <c r="S61" i="1"/>
  <c r="S117" i="1"/>
  <c r="S42" i="1"/>
  <c r="S130" i="1"/>
  <c r="U130" i="1" s="1"/>
  <c r="S91" i="1"/>
  <c r="U91" i="1" s="1"/>
  <c r="S65" i="1"/>
  <c r="U65" i="1" s="1"/>
  <c r="U53" i="1"/>
  <c r="U38" i="1" s="1"/>
  <c r="S38" i="1"/>
  <c r="S104" i="1"/>
  <c r="U104" i="1" s="1"/>
  <c r="S143" i="1"/>
  <c r="U143" i="1" s="1"/>
  <c r="M46" i="1"/>
  <c r="S139" i="1"/>
  <c r="U139" i="1" s="1"/>
  <c r="S164" i="1"/>
  <c r="U164" i="1" s="1"/>
  <c r="S112" i="1"/>
  <c r="U112" i="1" s="1"/>
  <c r="S99" i="1"/>
  <c r="U99" i="1" s="1"/>
  <c r="H46" i="1"/>
  <c r="S74" i="1"/>
  <c r="U74" i="1" s="1"/>
  <c r="L46" i="1"/>
  <c r="S126" i="1"/>
  <c r="U126" i="1" s="1"/>
  <c r="S151" i="1"/>
  <c r="U151" i="1" s="1"/>
  <c r="S73" i="1"/>
  <c r="U73" i="1" s="1"/>
  <c r="G45" i="1"/>
  <c r="G11" i="1" s="1"/>
  <c r="S60" i="1"/>
  <c r="S125" i="1"/>
  <c r="U125" i="1" s="1"/>
  <c r="J46" i="1"/>
  <c r="S100" i="1"/>
  <c r="I46" i="1"/>
  <c r="S87" i="1"/>
  <c r="U87" i="1" s="1"/>
  <c r="W200" i="1"/>
  <c r="W199" i="1"/>
  <c r="G30" i="1"/>
  <c r="O46" i="1"/>
  <c r="P40" i="1"/>
  <c r="Q42" i="1"/>
  <c r="P42" i="1"/>
  <c r="P46" i="1"/>
  <c r="Q40" i="1"/>
  <c r="U59" i="1"/>
  <c r="N46" i="1"/>
  <c r="O40" i="1"/>
  <c r="U58" i="1"/>
  <c r="H45" i="1"/>
  <c r="J45" i="1"/>
  <c r="P45" i="1"/>
  <c r="Q46" i="1"/>
  <c r="K45" i="1"/>
  <c r="K11" i="1" s="1"/>
  <c r="I45" i="1"/>
  <c r="N42" i="1"/>
  <c r="N40" i="1"/>
  <c r="O45" i="1"/>
  <c r="N45" i="1"/>
  <c r="M45" i="1"/>
  <c r="J40" i="1"/>
  <c r="O42" i="1"/>
  <c r="L45" i="1"/>
  <c r="Q45" i="1"/>
  <c r="J37" i="1"/>
  <c r="L37" i="1"/>
  <c r="I37" i="1"/>
  <c r="P37" i="1"/>
  <c r="K37" i="1"/>
  <c r="N37" i="1"/>
  <c r="O37" i="1"/>
  <c r="M37" i="1"/>
  <c r="H37" i="1"/>
  <c r="Q37" i="1"/>
  <c r="U187" i="1"/>
  <c r="U165" i="1"/>
  <c r="U133" i="1"/>
  <c r="U185" i="1"/>
  <c r="U135" i="1"/>
  <c r="U174" i="1"/>
  <c r="U159" i="1"/>
  <c r="U100" i="1"/>
  <c r="U161" i="1"/>
  <c r="U146" i="1"/>
  <c r="U172" i="1"/>
  <c r="U107" i="1"/>
  <c r="U120" i="1"/>
  <c r="U96" i="1"/>
  <c r="U148" i="1"/>
  <c r="U191" i="1"/>
  <c r="U178" i="1"/>
  <c r="U152" i="1"/>
  <c r="U109" i="1"/>
  <c r="U68" i="1"/>
  <c r="U81" i="1"/>
  <c r="U190" i="1"/>
  <c r="U94" i="1"/>
  <c r="U117" i="1"/>
  <c r="U70" i="1"/>
  <c r="U113" i="1"/>
  <c r="U83" i="1"/>
  <c r="U182" i="1"/>
  <c r="U122" i="1"/>
  <c r="R15" i="1" l="1"/>
  <c r="R9" i="1"/>
  <c r="R34" i="1"/>
  <c r="O11" i="1"/>
  <c r="H11" i="1"/>
  <c r="M11" i="1"/>
  <c r="P11" i="1"/>
  <c r="S46" i="1"/>
  <c r="I11" i="1"/>
  <c r="J11" i="1"/>
  <c r="S45" i="1"/>
  <c r="U52" i="1"/>
  <c r="U37" i="1" s="1"/>
  <c r="S37" i="1"/>
  <c r="U200" i="1"/>
  <c r="W42" i="1"/>
  <c r="U199" i="1"/>
  <c r="W41" i="1"/>
  <c r="U44" i="1"/>
  <c r="U18" i="1" s="1"/>
  <c r="U43" i="1"/>
  <c r="U17" i="1" s="1"/>
  <c r="L11" i="1"/>
  <c r="Q11" i="1"/>
  <c r="N11" i="1"/>
  <c r="U60" i="1"/>
  <c r="U45" i="1" s="1"/>
  <c r="U57" i="1"/>
  <c r="U55" i="1"/>
  <c r="U40" i="1" s="1"/>
  <c r="Q186" i="1"/>
  <c r="S186" i="1" s="1"/>
  <c r="Q184" i="1"/>
  <c r="S184" i="1" s="1"/>
  <c r="P173" i="1"/>
  <c r="P171" i="1"/>
  <c r="Q171" i="1"/>
  <c r="Q173" i="1"/>
  <c r="Q145" i="1"/>
  <c r="N132" i="1"/>
  <c r="Q158" i="1"/>
  <c r="O145" i="1"/>
  <c r="Q132" i="1"/>
  <c r="M132" i="1"/>
  <c r="N145" i="1"/>
  <c r="N134" i="1"/>
  <c r="O132" i="1"/>
  <c r="P132" i="1"/>
  <c r="P134" i="1"/>
  <c r="Q147" i="1"/>
  <c r="M134" i="1"/>
  <c r="N147" i="1"/>
  <c r="P160" i="1"/>
  <c r="Q160" i="1"/>
  <c r="O158" i="1"/>
  <c r="P147" i="1"/>
  <c r="O160" i="1"/>
  <c r="Q134" i="1"/>
  <c r="O147" i="1"/>
  <c r="P145" i="1"/>
  <c r="P158" i="1"/>
  <c r="O134" i="1"/>
  <c r="U61" i="1"/>
  <c r="U46" i="1" s="1"/>
  <c r="M121" i="1"/>
  <c r="M119" i="1"/>
  <c r="Q121" i="1"/>
  <c r="Q119" i="1"/>
  <c r="L119" i="1"/>
  <c r="L121" i="1"/>
  <c r="N121" i="1"/>
  <c r="P119" i="1"/>
  <c r="O119" i="1"/>
  <c r="P121" i="1"/>
  <c r="O121" i="1"/>
  <c r="N119" i="1"/>
  <c r="M108" i="1"/>
  <c r="Q108" i="1"/>
  <c r="O106" i="1"/>
  <c r="K95" i="1"/>
  <c r="O95" i="1"/>
  <c r="K93" i="1"/>
  <c r="O93" i="1"/>
  <c r="N108" i="1"/>
  <c r="K108" i="1"/>
  <c r="L106" i="1"/>
  <c r="P106" i="1"/>
  <c r="L95" i="1"/>
  <c r="P95" i="1"/>
  <c r="L93" i="1"/>
  <c r="P93" i="1"/>
  <c r="O108" i="1"/>
  <c r="M106" i="1"/>
  <c r="Q106" i="1"/>
  <c r="M95" i="1"/>
  <c r="Q95" i="1"/>
  <c r="M93" i="1"/>
  <c r="Q93" i="1"/>
  <c r="L108" i="1"/>
  <c r="P108" i="1"/>
  <c r="N106" i="1"/>
  <c r="K106" i="1"/>
  <c r="N95" i="1"/>
  <c r="J95" i="1"/>
  <c r="N93" i="1"/>
  <c r="J93" i="1"/>
  <c r="M82" i="1"/>
  <c r="Q82" i="1"/>
  <c r="K80" i="1"/>
  <c r="O80" i="1"/>
  <c r="J82" i="1"/>
  <c r="N82" i="1"/>
  <c r="I82" i="1"/>
  <c r="L80" i="1"/>
  <c r="P80" i="1"/>
  <c r="K82" i="1"/>
  <c r="O82" i="1"/>
  <c r="M80" i="1"/>
  <c r="Q80" i="1"/>
  <c r="L82" i="1"/>
  <c r="P82" i="1"/>
  <c r="J80" i="1"/>
  <c r="N80" i="1"/>
  <c r="I80" i="1"/>
  <c r="I67" i="1"/>
  <c r="J69" i="1"/>
  <c r="M67" i="1"/>
  <c r="N69" i="1"/>
  <c r="Q67" i="1"/>
  <c r="M69" i="1"/>
  <c r="P67" i="1"/>
  <c r="J67" i="1"/>
  <c r="I69" i="1"/>
  <c r="L67" i="1"/>
  <c r="O67" i="1"/>
  <c r="H67" i="1"/>
  <c r="P69" i="1"/>
  <c r="O69" i="1"/>
  <c r="K67" i="1"/>
  <c r="Q69" i="1"/>
  <c r="L69" i="1"/>
  <c r="K69" i="1"/>
  <c r="N67" i="1"/>
  <c r="J56" i="1"/>
  <c r="M56" i="1"/>
  <c r="M54" i="1"/>
  <c r="H56" i="1"/>
  <c r="H54" i="1"/>
  <c r="N54" i="1"/>
  <c r="I54" i="1"/>
  <c r="N56" i="1"/>
  <c r="L56" i="1"/>
  <c r="K56" i="1"/>
  <c r="I56" i="1"/>
  <c r="Q56" i="1"/>
  <c r="L54" i="1"/>
  <c r="J54" i="1"/>
  <c r="P56" i="1"/>
  <c r="P54" i="1"/>
  <c r="O56" i="1"/>
  <c r="O54" i="1"/>
  <c r="Q54" i="1"/>
  <c r="K54" i="1"/>
  <c r="S173" i="1" l="1"/>
  <c r="W47" i="1"/>
  <c r="U42" i="1"/>
  <c r="W34" i="1"/>
  <c r="W10" i="1"/>
  <c r="W12" i="1" s="1"/>
  <c r="U11" i="1"/>
  <c r="S67" i="1"/>
  <c r="U67" i="1" s="1"/>
  <c r="S80" i="1"/>
  <c r="U80" i="1" s="1"/>
  <c r="S95" i="1"/>
  <c r="U95" i="1" s="1"/>
  <c r="S158" i="1"/>
  <c r="S134" i="1"/>
  <c r="U134" i="1" s="1"/>
  <c r="W14" i="1"/>
  <c r="W13" i="1"/>
  <c r="W7" i="1" s="1"/>
  <c r="H41" i="1"/>
  <c r="H32" i="1" s="1"/>
  <c r="S56" i="1"/>
  <c r="S106" i="1"/>
  <c r="U106" i="1" s="1"/>
  <c r="S121" i="1"/>
  <c r="U121" i="1" s="1"/>
  <c r="S160" i="1"/>
  <c r="U160" i="1" s="1"/>
  <c r="S145" i="1"/>
  <c r="U145" i="1" s="1"/>
  <c r="S69" i="1"/>
  <c r="U69" i="1" s="1"/>
  <c r="S82" i="1"/>
  <c r="U82" i="1" s="1"/>
  <c r="S108" i="1"/>
  <c r="U108" i="1" s="1"/>
  <c r="S119" i="1"/>
  <c r="U119" i="1" s="1"/>
  <c r="S147" i="1"/>
  <c r="U147" i="1" s="1"/>
  <c r="S132" i="1"/>
  <c r="U132" i="1" s="1"/>
  <c r="S171" i="1"/>
  <c r="U171" i="1" s="1"/>
  <c r="W30" i="1"/>
  <c r="W8" i="1"/>
  <c r="S54" i="1"/>
  <c r="S93" i="1"/>
  <c r="U93" i="1" s="1"/>
  <c r="Q39" i="1"/>
  <c r="P41" i="1"/>
  <c r="P32" i="1" s="1"/>
  <c r="I41" i="1"/>
  <c r="I32" i="1" s="1"/>
  <c r="N41" i="1"/>
  <c r="N32" i="1" s="1"/>
  <c r="J41" i="1"/>
  <c r="J32" i="1" s="1"/>
  <c r="I39" i="1"/>
  <c r="L41" i="1"/>
  <c r="L32" i="1" s="1"/>
  <c r="O41" i="1"/>
  <c r="O32" i="1" s="1"/>
  <c r="N39" i="1"/>
  <c r="L39" i="1"/>
  <c r="M41" i="1"/>
  <c r="M32" i="1" s="1"/>
  <c r="O39" i="1"/>
  <c r="O14" i="1" s="1"/>
  <c r="O8" i="1" s="1"/>
  <c r="J39" i="1"/>
  <c r="J14" i="1" s="1"/>
  <c r="J8" i="1" s="1"/>
  <c r="K41" i="1"/>
  <c r="K32" i="1" s="1"/>
  <c r="M39" i="1"/>
  <c r="M14" i="1" s="1"/>
  <c r="M8" i="1" s="1"/>
  <c r="K39" i="1"/>
  <c r="P39" i="1"/>
  <c r="Q41" i="1"/>
  <c r="Q32" i="1" s="1"/>
  <c r="H39" i="1"/>
  <c r="G41" i="1"/>
  <c r="W32" i="1"/>
  <c r="U184" i="1"/>
  <c r="U173" i="1"/>
  <c r="U158" i="1"/>
  <c r="U186" i="1"/>
  <c r="N14" i="1" l="1"/>
  <c r="N8" i="1" s="1"/>
  <c r="U56" i="1"/>
  <c r="U41" i="1" s="1"/>
  <c r="S41" i="1"/>
  <c r="S32" i="1" s="1"/>
  <c r="U54" i="1"/>
  <c r="U39" i="1" s="1"/>
  <c r="S39" i="1"/>
  <c r="W15" i="1"/>
  <c r="H14" i="1"/>
  <c r="H8" i="1" s="1"/>
  <c r="W9" i="1"/>
  <c r="P14" i="1"/>
  <c r="P8" i="1" s="1"/>
  <c r="Q14" i="1"/>
  <c r="Q8" i="1" s="1"/>
  <c r="K14" i="1"/>
  <c r="K8" i="1" s="1"/>
  <c r="L14" i="1"/>
  <c r="L8" i="1" s="1"/>
  <c r="I14" i="1"/>
  <c r="I8" i="1" s="1"/>
  <c r="G14" i="1"/>
  <c r="G8" i="1" s="1"/>
  <c r="G13" i="1"/>
  <c r="I13" i="1"/>
  <c r="L13" i="1"/>
  <c r="P13" i="1"/>
  <c r="J13" i="1"/>
  <c r="N13" i="1"/>
  <c r="Q13" i="1"/>
  <c r="K13" i="1"/>
  <c r="O13" i="1"/>
  <c r="H13" i="1"/>
  <c r="M13" i="1"/>
  <c r="G10" i="1"/>
  <c r="G47" i="1"/>
  <c r="K30" i="1"/>
  <c r="K34" i="1" s="1"/>
  <c r="K10" i="1"/>
  <c r="O30" i="1"/>
  <c r="O34" i="1" s="1"/>
  <c r="O10" i="1"/>
  <c r="H30" i="1"/>
  <c r="H34" i="1" s="1"/>
  <c r="H10" i="1"/>
  <c r="M30" i="1"/>
  <c r="M34" i="1" s="1"/>
  <c r="M10" i="1"/>
  <c r="L30" i="1"/>
  <c r="L34" i="1" s="1"/>
  <c r="L10" i="1"/>
  <c r="I30" i="1"/>
  <c r="I34" i="1" s="1"/>
  <c r="I10" i="1"/>
  <c r="P30" i="1"/>
  <c r="P34" i="1" s="1"/>
  <c r="P10" i="1"/>
  <c r="J30" i="1"/>
  <c r="J34" i="1" s="1"/>
  <c r="J10" i="1"/>
  <c r="N30" i="1"/>
  <c r="N34" i="1" s="1"/>
  <c r="N10" i="1"/>
  <c r="Q30" i="1"/>
  <c r="Q34" i="1" s="1"/>
  <c r="Q10" i="1"/>
  <c r="G32" i="1"/>
  <c r="G34" i="1" s="1"/>
  <c r="H47" i="1"/>
  <c r="J47" i="1"/>
  <c r="M47" i="1"/>
  <c r="K47" i="1"/>
  <c r="N47" i="1"/>
  <c r="Q47" i="1"/>
  <c r="L47" i="1"/>
  <c r="O47" i="1"/>
  <c r="I47" i="1"/>
  <c r="P47" i="1"/>
  <c r="S8" i="1" l="1"/>
  <c r="U47" i="1"/>
  <c r="S47" i="1"/>
  <c r="S30" i="1"/>
  <c r="S34" i="1" s="1"/>
  <c r="M12" i="1"/>
  <c r="M7" i="1"/>
  <c r="M9" i="1" s="1"/>
  <c r="J12" i="1"/>
  <c r="J7" i="1"/>
  <c r="J9" i="1" s="1"/>
  <c r="O12" i="1"/>
  <c r="O7" i="1"/>
  <c r="O9" i="1" s="1"/>
  <c r="G12" i="1"/>
  <c r="G7" i="1"/>
  <c r="Q12" i="1"/>
  <c r="Q7" i="1"/>
  <c r="Q9" i="1" s="1"/>
  <c r="I12" i="1"/>
  <c r="I7" i="1"/>
  <c r="I9" i="1" s="1"/>
  <c r="N12" i="1"/>
  <c r="N7" i="1"/>
  <c r="N9" i="1" s="1"/>
  <c r="P12" i="1"/>
  <c r="P7" i="1"/>
  <c r="P9" i="1" s="1"/>
  <c r="L12" i="1"/>
  <c r="L7" i="1"/>
  <c r="L9" i="1" s="1"/>
  <c r="H12" i="1"/>
  <c r="H7" i="1"/>
  <c r="H9" i="1" s="1"/>
  <c r="K12" i="1"/>
  <c r="K7" i="1"/>
  <c r="K9" i="1" s="1"/>
  <c r="G15" i="1"/>
  <c r="I15" i="1"/>
  <c r="P15" i="1"/>
  <c r="N15" i="1"/>
  <c r="M15" i="1"/>
  <c r="Q15" i="1"/>
  <c r="J15" i="1"/>
  <c r="L15" i="1"/>
  <c r="O15" i="1"/>
  <c r="H15" i="1"/>
  <c r="K15" i="1"/>
  <c r="U10" i="1"/>
  <c r="U34" i="1"/>
  <c r="G9" i="1" l="1"/>
  <c r="S9" i="1" s="1"/>
  <c r="S7" i="1"/>
  <c r="U14" i="1"/>
  <c r="U8" i="1" s="1"/>
  <c r="U13" i="1"/>
  <c r="U30" i="1"/>
  <c r="U32" i="1"/>
  <c r="U15" i="1" l="1"/>
  <c r="U12" i="1"/>
  <c r="U7" i="1"/>
  <c r="U9" i="1" s="1"/>
</calcChain>
</file>

<file path=xl/sharedStrings.xml><?xml version="1.0" encoding="utf-8"?>
<sst xmlns="http://schemas.openxmlformats.org/spreadsheetml/2006/main" count="562" uniqueCount="60">
  <si>
    <t>Total 16-18 starts</t>
  </si>
  <si>
    <t>Monthly ESFA co-investment on-programme</t>
  </si>
  <si>
    <t>On-programme full funding</t>
  </si>
  <si>
    <t>Completion full funding</t>
  </si>
  <si>
    <t>a) On-programme</t>
  </si>
  <si>
    <t>a) Completion</t>
  </si>
  <si>
    <t>b) On-programme</t>
  </si>
  <si>
    <t>b) Completion</t>
  </si>
  <si>
    <t>c) On-programme</t>
  </si>
  <si>
    <t>c) Completion</t>
  </si>
  <si>
    <t>a) 16-18 starts (under 50 employees)</t>
  </si>
  <si>
    <t>b) 16-18 starts (50 or more employees)</t>
  </si>
  <si>
    <t>c) 19+ starts</t>
  </si>
  <si>
    <t>Monthly on-programme full funding</t>
  </si>
  <si>
    <t>16-18 provider incentive</t>
  </si>
  <si>
    <t>16-18 employer incentive</t>
  </si>
  <si>
    <t xml:space="preserve">Total </t>
  </si>
  <si>
    <t>Start month</t>
  </si>
  <si>
    <t>Contract month number</t>
  </si>
  <si>
    <t>16-18 framework uplift</t>
  </si>
  <si>
    <t>Total 19 starts</t>
  </si>
  <si>
    <t>Total all age starts</t>
  </si>
  <si>
    <t>16-18 framework uplift on-programme</t>
  </si>
  <si>
    <t>16-18 framework uplift completion</t>
  </si>
  <si>
    <t>Monthly 16-18 framework uplift on-programme</t>
  </si>
  <si>
    <t>a) 16-18 starts (under 50 employees)*</t>
  </si>
  <si>
    <t>b) 16-18 starts (50 or more employees)*</t>
  </si>
  <si>
    <t>16-18 starts total</t>
  </si>
  <si>
    <t>c) 19+ starts total</t>
  </si>
  <si>
    <t>Total starts all age</t>
  </si>
  <si>
    <t>Framework = F   Standard = S</t>
  </si>
  <si>
    <t>Total 16-18 "estimated cost"</t>
  </si>
  <si>
    <t>Total 19 "estimated cost"</t>
  </si>
  <si>
    <t>Total all age "estimated cost"</t>
  </si>
  <si>
    <t>Accounting framework at level 2</t>
  </si>
  <si>
    <t>Your price (do not exceed upper limit)</t>
  </si>
  <si>
    <t>Upper limit (see max band info)</t>
  </si>
  <si>
    <t>Note: This calculator assumes 100% completion</t>
  </si>
  <si>
    <t>On-programme co-funding</t>
  </si>
  <si>
    <t>Completion co-funding</t>
  </si>
  <si>
    <t>Total (excluding Eng, math, disadvantage and fees)</t>
  </si>
  <si>
    <t>Disclaimer: This calculator is intended as a training tool, and only serves only as a guide to apprenticeship funding. 
Therefore, you should always do your own homework and source information yourself. In particular, the latest relevant Skills Funding Agency documents should always serve as the definitive source of information. 
Lsect is not responsible for the consequences of any decisions or actions taken in reliance on the information provided and all queries about rates and rules should be made to the SFA at info@sfa.bis.gov.uk or call the SFA on 0345 377 5000</t>
  </si>
  <si>
    <t>On-programme duration in months</t>
  </si>
  <si>
    <t>Levy funded?</t>
  </si>
  <si>
    <t>Levy funding</t>
  </si>
  <si>
    <t xml:space="preserve"> </t>
  </si>
  <si>
    <t>Employer incentive</t>
  </si>
  <si>
    <t>ACT 1</t>
  </si>
  <si>
    <t>Provider incentive</t>
  </si>
  <si>
    <t>Non-levy funding</t>
  </si>
  <si>
    <t>Non-levy allocation funding</t>
  </si>
  <si>
    <t>Employer contribution</t>
  </si>
  <si>
    <t>ACT 2</t>
  </si>
  <si>
    <t>Total funding</t>
  </si>
  <si>
    <t>Total income</t>
  </si>
  <si>
    <t>Apprenticeship funding calculator 2018/19</t>
  </si>
  <si>
    <t>Carry-over</t>
  </si>
  <si>
    <t>S</t>
  </si>
  <si>
    <t>N</t>
  </si>
  <si>
    <t>2018/19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</si>
</sst>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7" x14ac:knownFonts="1">
    <font>
      <sz val="11"/>
      <color theme="1"/>
      <name val="Calibri"/>
      <family val="2"/>
      <scheme val="minor"/>
    </font>
    <font>
      <sz val="10"/>
      <color theme="1"/>
      <name val="Arial"/>
      <family val="2"/>
    </font>
    <font>
      <sz val="10"/>
      <name val="Arial"/>
      <family val="2"/>
    </font>
    <font>
      <b/>
      <sz val="10"/>
      <color theme="1"/>
      <name val="Arial"/>
      <family val="2"/>
    </font>
    <font>
      <sz val="10"/>
      <color theme="0"/>
      <name val="Arial"/>
      <family val="2"/>
    </font>
    <font>
      <sz val="10"/>
      <color rgb="FFFF0000"/>
      <name val="Arial"/>
      <family val="2"/>
    </font>
    <font>
      <sz val="10"/>
      <color rgb="FF000000"/>
      <name val="Times New Roman"/>
      <family val="1"/>
    </font>
    <font>
      <u/>
      <sz val="11"/>
      <color rgb="FF0563C1"/>
      <name val="Calibri"/>
      <family val="2"/>
    </font>
    <font>
      <sz val="11"/>
      <color rgb="FF000000"/>
      <name val="Calibri"/>
      <family val="2"/>
    </font>
    <font>
      <u/>
      <sz val="10"/>
      <color rgb="FF0563C1"/>
      <name val="Arial"/>
      <family val="2"/>
    </font>
    <font>
      <sz val="36"/>
      <color theme="1"/>
      <name val="Trebuchet MS"/>
      <family val="2"/>
    </font>
    <font>
      <sz val="10"/>
      <color theme="1"/>
      <name val="Trebuchet MS"/>
      <family val="2"/>
    </font>
    <font>
      <sz val="20"/>
      <color theme="1"/>
      <name val="Trebuchet MS"/>
      <family val="2"/>
    </font>
    <font>
      <sz val="26"/>
      <color theme="1"/>
      <name val="Trebuchet MS"/>
      <family val="2"/>
    </font>
    <font>
      <b/>
      <sz val="12"/>
      <color rgb="FFC00000"/>
      <name val="Arial"/>
      <family val="2"/>
    </font>
    <font>
      <b/>
      <sz val="10"/>
      <name val="Arial"/>
      <family val="2"/>
    </font>
    <font>
      <b/>
      <sz val="10"/>
      <color theme="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00206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double">
        <color theme="0"/>
      </left>
      <right style="double">
        <color theme="0"/>
      </right>
      <top style="thin">
        <color indexed="64"/>
      </top>
      <bottom style="double">
        <color indexed="64"/>
      </bottom>
      <diagonal/>
    </border>
    <border>
      <left/>
      <right/>
      <top/>
      <bottom style="thin">
        <color theme="0"/>
      </bottom>
      <diagonal/>
    </border>
    <border>
      <left style="thin">
        <color theme="0"/>
      </left>
      <right/>
      <top style="thin">
        <color indexed="64"/>
      </top>
      <bottom/>
      <diagonal/>
    </border>
    <border>
      <left/>
      <right style="thin">
        <color theme="0"/>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right/>
      <top style="thin">
        <color indexed="64"/>
      </top>
      <bottom style="thin">
        <color indexed="64"/>
      </bottom>
      <diagonal/>
    </border>
  </borders>
  <cellStyleXfs count="6">
    <xf numFmtId="0" fontId="0" fillId="0" borderId="0"/>
    <xf numFmtId="0" fontId="6" fillId="0" borderId="0" applyNumberFormat="0" applyBorder="0" applyProtection="0"/>
    <xf numFmtId="0" fontId="7" fillId="0" borderId="0" applyNumberFormat="0" applyFill="0" applyBorder="0" applyAlignment="0" applyProtection="0"/>
    <xf numFmtId="0" fontId="8" fillId="0" borderId="0"/>
    <xf numFmtId="0" fontId="9" fillId="0" borderId="0" applyNumberFormat="0" applyFill="0" applyBorder="0" applyAlignment="0" applyProtection="0"/>
    <xf numFmtId="0" fontId="6" fillId="0" borderId="0" applyNumberFormat="0" applyBorder="0" applyProtection="0"/>
  </cellStyleXfs>
  <cellXfs count="118">
    <xf numFmtId="0" fontId="0" fillId="0" borderId="0" xfId="0"/>
    <xf numFmtId="1" fontId="1" fillId="0" borderId="1" xfId="0" applyNumberFormat="1" applyFont="1" applyBorder="1" applyAlignment="1">
      <alignment horizontal="left" vertical="center" wrapText="1"/>
    </xf>
    <xf numFmtId="164" fontId="1" fillId="0" borderId="1" xfId="0" applyNumberFormat="1" applyFont="1" applyBorder="1" applyAlignment="1">
      <alignment horizontal="center" vertical="center" wrapText="1"/>
    </xf>
    <xf numFmtId="1" fontId="1" fillId="0" borderId="1" xfId="0" applyNumberFormat="1" applyFont="1" applyBorder="1" applyAlignment="1">
      <alignment vertical="center" wrapText="1"/>
    </xf>
    <xf numFmtId="164" fontId="1" fillId="2" borderId="1" xfId="0" applyNumberFormat="1" applyFont="1" applyFill="1" applyBorder="1" applyAlignment="1">
      <alignment horizontal="center" vertical="center" wrapText="1"/>
    </xf>
    <xf numFmtId="1" fontId="1" fillId="0" borderId="0" xfId="0" applyNumberFormat="1" applyFont="1" applyAlignment="1">
      <alignment vertical="center" wrapText="1"/>
    </xf>
    <xf numFmtId="1" fontId="1" fillId="0" borderId="0" xfId="0" applyNumberFormat="1" applyFont="1" applyAlignment="1">
      <alignment horizontal="center" vertical="center" wrapText="1"/>
    </xf>
    <xf numFmtId="1" fontId="1" fillId="0" borderId="0" xfId="0" applyNumberFormat="1" applyFont="1" applyBorder="1" applyAlignment="1">
      <alignment vertical="center" wrapText="1"/>
    </xf>
    <xf numFmtId="1" fontId="1" fillId="0" borderId="1" xfId="0" applyNumberFormat="1" applyFont="1" applyBorder="1" applyAlignment="1">
      <alignment horizontal="center" vertical="center" wrapText="1"/>
    </xf>
    <xf numFmtId="1" fontId="3"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wrapText="1"/>
    </xf>
    <xf numFmtId="1" fontId="1" fillId="0" borderId="0" xfId="0" applyNumberFormat="1" applyFont="1" applyFill="1" applyAlignment="1">
      <alignment vertical="center" wrapText="1"/>
    </xf>
    <xf numFmtId="1" fontId="4" fillId="5" borderId="1" xfId="0" applyNumberFormat="1" applyFont="1" applyFill="1" applyBorder="1" applyAlignment="1">
      <alignment horizontal="center" vertical="center" wrapText="1"/>
    </xf>
    <xf numFmtId="1" fontId="3" fillId="0" borderId="1" xfId="0" applyNumberFormat="1" applyFont="1" applyFill="1" applyBorder="1" applyAlignment="1">
      <alignment horizontal="left" vertical="center" wrapText="1" indent="1"/>
    </xf>
    <xf numFmtId="1" fontId="3" fillId="0" borderId="1" xfId="0" applyNumberFormat="1" applyFont="1" applyFill="1" applyBorder="1" applyAlignment="1">
      <alignment horizontal="center" vertical="center" wrapText="1"/>
    </xf>
    <xf numFmtId="164" fontId="1" fillId="0" borderId="0" xfId="0" applyNumberFormat="1" applyFont="1" applyBorder="1" applyAlignment="1">
      <alignment horizontal="center" vertical="center" wrapText="1"/>
    </xf>
    <xf numFmtId="164" fontId="1" fillId="0" borderId="0" xfId="0" applyNumberFormat="1" applyFont="1" applyAlignment="1">
      <alignment vertical="center" wrapText="1"/>
    </xf>
    <xf numFmtId="17" fontId="1" fillId="0" borderId="1" xfId="0" applyNumberFormat="1" applyFont="1" applyBorder="1" applyAlignment="1">
      <alignment horizontal="center" vertical="center" wrapText="1"/>
    </xf>
    <xf numFmtId="164" fontId="5" fillId="4" borderId="1" xfId="0" applyNumberFormat="1" applyFont="1" applyFill="1" applyBorder="1" applyAlignment="1">
      <alignment vertical="center" wrapText="1"/>
    </xf>
    <xf numFmtId="164" fontId="1" fillId="0" borderId="3" xfId="0" applyNumberFormat="1" applyFont="1" applyBorder="1" applyAlignment="1">
      <alignment horizontal="center" vertical="center" wrapText="1"/>
    </xf>
    <xf numFmtId="1" fontId="1" fillId="0" borderId="2" xfId="0" applyNumberFormat="1" applyFont="1" applyBorder="1" applyAlignment="1">
      <alignment vertical="center" wrapText="1"/>
    </xf>
    <xf numFmtId="164" fontId="1" fillId="4" borderId="1" xfId="0" applyNumberFormat="1" applyFont="1" applyFill="1" applyBorder="1" applyAlignment="1">
      <alignment horizontal="center" vertical="center" wrapText="1"/>
    </xf>
    <xf numFmtId="1" fontId="1" fillId="4" borderId="1" xfId="0" applyNumberFormat="1" applyFont="1" applyFill="1" applyBorder="1" applyAlignment="1">
      <alignment vertical="center" wrapText="1"/>
    </xf>
    <xf numFmtId="17" fontId="1" fillId="0" borderId="0" xfId="0" applyNumberFormat="1" applyFont="1" applyAlignment="1">
      <alignment horizontal="center" vertical="center" wrapText="1"/>
    </xf>
    <xf numFmtId="164" fontId="1" fillId="0" borderId="2" xfId="0" applyNumberFormat="1" applyFont="1" applyBorder="1" applyAlignment="1">
      <alignment vertical="center" wrapText="1"/>
    </xf>
    <xf numFmtId="1" fontId="1" fillId="3" borderId="1" xfId="0" applyNumberFormat="1" applyFont="1" applyFill="1" applyBorder="1" applyAlignment="1" applyProtection="1">
      <alignment horizontal="center" vertical="center" wrapText="1"/>
      <protection locked="0"/>
    </xf>
    <xf numFmtId="164" fontId="1" fillId="3" borderId="1" xfId="0" applyNumberFormat="1" applyFont="1" applyFill="1" applyBorder="1" applyAlignment="1" applyProtection="1">
      <alignment horizontal="center" vertical="center" wrapText="1"/>
      <protection locked="0"/>
    </xf>
    <xf numFmtId="1" fontId="3" fillId="0" borderId="1" xfId="0" applyNumberFormat="1" applyFont="1" applyBorder="1" applyAlignment="1">
      <alignment vertical="center" wrapText="1"/>
    </xf>
    <xf numFmtId="1" fontId="1" fillId="0" borderId="5" xfId="0" applyNumberFormat="1" applyFont="1" applyBorder="1" applyAlignment="1">
      <alignment horizontal="center" vertical="center" wrapText="1"/>
    </xf>
    <xf numFmtId="1" fontId="1" fillId="0" borderId="5" xfId="0" applyNumberFormat="1" applyFont="1" applyBorder="1" applyAlignment="1">
      <alignment vertical="center" wrapText="1"/>
    </xf>
    <xf numFmtId="1" fontId="1" fillId="0" borderId="5" xfId="0" applyNumberFormat="1" applyFont="1" applyFill="1" applyBorder="1" applyAlignment="1">
      <alignment vertical="center" wrapText="1"/>
    </xf>
    <xf numFmtId="1" fontId="1" fillId="0" borderId="6" xfId="0" applyNumberFormat="1" applyFont="1" applyBorder="1" applyAlignment="1">
      <alignment vertical="center" wrapText="1"/>
    </xf>
    <xf numFmtId="1" fontId="1" fillId="0" borderId="7" xfId="0" applyNumberFormat="1" applyFont="1" applyBorder="1" applyAlignment="1">
      <alignment horizontal="center" vertical="center" wrapText="1"/>
    </xf>
    <xf numFmtId="1" fontId="1" fillId="0" borderId="8" xfId="0" applyNumberFormat="1" applyFont="1" applyBorder="1" applyAlignment="1">
      <alignment vertical="center" wrapText="1"/>
    </xf>
    <xf numFmtId="1" fontId="1" fillId="0" borderId="9" xfId="0" applyNumberFormat="1" applyFont="1" applyBorder="1" applyAlignment="1">
      <alignment vertical="center" wrapText="1"/>
    </xf>
    <xf numFmtId="1" fontId="1" fillId="0" borderId="4" xfId="0" applyNumberFormat="1" applyFont="1" applyBorder="1" applyAlignment="1">
      <alignment vertical="center" wrapText="1"/>
    </xf>
    <xf numFmtId="17" fontId="4" fillId="5" borderId="1" xfId="0" applyNumberFormat="1" applyFont="1" applyFill="1" applyBorder="1" applyAlignment="1">
      <alignment horizontal="center" vertical="center" wrapText="1"/>
    </xf>
    <xf numFmtId="1" fontId="1" fillId="2" borderId="6" xfId="0" applyNumberFormat="1" applyFont="1" applyFill="1" applyBorder="1" applyAlignment="1" applyProtection="1">
      <alignment vertical="center" wrapText="1"/>
      <protection locked="0"/>
    </xf>
    <xf numFmtId="1" fontId="1" fillId="0" borderId="9" xfId="0" applyNumberFormat="1" applyFont="1" applyBorder="1" applyAlignment="1">
      <alignment horizontal="center" vertical="center" wrapText="1"/>
    </xf>
    <xf numFmtId="1" fontId="1" fillId="0" borderId="10" xfId="0" applyNumberFormat="1" applyFont="1" applyBorder="1" applyAlignment="1">
      <alignment horizontal="center" vertical="center" wrapText="1"/>
    </xf>
    <xf numFmtId="1" fontId="1" fillId="0" borderId="6" xfId="0" applyNumberFormat="1" applyFont="1" applyBorder="1" applyAlignment="1">
      <alignment horizontal="center" vertical="center" wrapText="1"/>
    </xf>
    <xf numFmtId="1" fontId="1" fillId="0" borderId="6" xfId="0" applyNumberFormat="1" applyFont="1" applyFill="1" applyBorder="1" applyAlignment="1">
      <alignment horizontal="center" vertical="center" wrapText="1"/>
    </xf>
    <xf numFmtId="1" fontId="1" fillId="0" borderId="11" xfId="0" applyNumberFormat="1" applyFont="1" applyFill="1" applyBorder="1" applyAlignment="1">
      <alignment horizontal="center" vertical="center" wrapText="1"/>
    </xf>
    <xf numFmtId="1" fontId="1" fillId="0" borderId="11" xfId="0" applyNumberFormat="1" applyFont="1" applyBorder="1" applyAlignment="1">
      <alignment horizontal="center" vertical="center" wrapText="1"/>
    </xf>
    <xf numFmtId="1" fontId="1" fillId="0" borderId="6" xfId="0" applyNumberFormat="1" applyFont="1" applyFill="1" applyBorder="1" applyAlignment="1">
      <alignment vertical="center" wrapText="1"/>
    </xf>
    <xf numFmtId="1" fontId="1" fillId="0" borderId="11" xfId="0" applyNumberFormat="1" applyFont="1" applyBorder="1" applyAlignment="1">
      <alignment vertical="center" wrapText="1"/>
    </xf>
    <xf numFmtId="1" fontId="1" fillId="0" borderId="12" xfId="0" applyNumberFormat="1" applyFont="1" applyFill="1" applyBorder="1" applyAlignment="1">
      <alignment horizontal="center" vertical="center" wrapText="1"/>
    </xf>
    <xf numFmtId="1" fontId="1" fillId="0" borderId="12" xfId="0" applyNumberFormat="1" applyFont="1" applyBorder="1" applyAlignment="1">
      <alignment vertical="center" wrapText="1"/>
    </xf>
    <xf numFmtId="1" fontId="1" fillId="0" borderId="12"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xf numFmtId="9" fontId="1" fillId="0" borderId="12" xfId="0" applyNumberFormat="1" applyFont="1" applyBorder="1" applyAlignment="1">
      <alignment horizontal="center" vertical="center" wrapText="1"/>
    </xf>
    <xf numFmtId="164" fontId="1" fillId="0" borderId="8" xfId="0" applyNumberFormat="1" applyFont="1" applyBorder="1" applyAlignment="1">
      <alignment horizontal="center" vertical="center" wrapText="1"/>
    </xf>
    <xf numFmtId="164" fontId="1" fillId="0" borderId="12" xfId="0" applyNumberFormat="1" applyFont="1" applyBorder="1" applyAlignment="1">
      <alignment vertical="center" wrapText="1"/>
    </xf>
    <xf numFmtId="164" fontId="3" fillId="0" borderId="13" xfId="0" applyNumberFormat="1" applyFont="1" applyBorder="1" applyAlignment="1">
      <alignment vertical="center" wrapText="1"/>
    </xf>
    <xf numFmtId="164" fontId="3" fillId="0" borderId="13" xfId="0" applyNumberFormat="1" applyFont="1" applyBorder="1" applyAlignment="1">
      <alignment horizontal="center" vertical="center" wrapText="1"/>
    </xf>
    <xf numFmtId="1" fontId="1" fillId="0" borderId="12" xfId="0" applyNumberFormat="1" applyFont="1" applyFill="1" applyBorder="1" applyAlignment="1">
      <alignment vertical="center" wrapText="1"/>
    </xf>
    <xf numFmtId="1" fontId="12" fillId="0" borderId="5" xfId="0" applyNumberFormat="1" applyFont="1" applyBorder="1" applyAlignment="1">
      <alignment horizontal="center" vertical="center" wrapText="1"/>
    </xf>
    <xf numFmtId="1" fontId="1" fillId="3" borderId="1" xfId="0" applyNumberFormat="1" applyFont="1" applyFill="1" applyBorder="1" applyAlignment="1" applyProtection="1">
      <alignment horizontal="center" vertical="center" wrapText="1"/>
      <protection locked="0"/>
    </xf>
    <xf numFmtId="1" fontId="1" fillId="0" borderId="14" xfId="0" applyNumberFormat="1" applyFont="1" applyBorder="1" applyAlignment="1">
      <alignment vertical="center" wrapText="1"/>
    </xf>
    <xf numFmtId="1" fontId="2" fillId="2" borderId="1" xfId="0" applyNumberFormat="1" applyFont="1" applyFill="1" applyBorder="1" applyAlignment="1">
      <alignment horizontal="center" vertical="center" wrapText="1"/>
    </xf>
    <xf numFmtId="17" fontId="2" fillId="2" borderId="1" xfId="0" applyNumberFormat="1" applyFont="1" applyFill="1" applyBorder="1" applyAlignment="1">
      <alignment horizontal="center" vertical="center" wrapText="1"/>
    </xf>
    <xf numFmtId="1" fontId="1" fillId="0" borderId="0" xfId="0" applyNumberFormat="1" applyFont="1" applyBorder="1" applyAlignment="1">
      <alignment horizontal="center" vertical="center" wrapText="1"/>
    </xf>
    <xf numFmtId="1" fontId="4" fillId="2" borderId="0" xfId="0" applyNumberFormat="1" applyFont="1" applyFill="1" applyBorder="1" applyAlignment="1">
      <alignment horizontal="center" vertical="center" wrapText="1"/>
    </xf>
    <xf numFmtId="1" fontId="1" fillId="2" borderId="0" xfId="0" applyNumberFormat="1" applyFont="1" applyFill="1" applyBorder="1" applyAlignment="1">
      <alignment horizontal="left" vertical="center" wrapText="1"/>
    </xf>
    <xf numFmtId="164" fontId="1" fillId="2" borderId="0" xfId="0" applyNumberFormat="1" applyFont="1" applyFill="1" applyBorder="1" applyAlignment="1">
      <alignment horizontal="center" vertical="center" wrapText="1"/>
    </xf>
    <xf numFmtId="1" fontId="1" fillId="2" borderId="0" xfId="0" applyNumberFormat="1" applyFont="1" applyFill="1" applyBorder="1" applyAlignment="1">
      <alignment horizontal="center" vertical="center" wrapText="1"/>
    </xf>
    <xf numFmtId="1" fontId="1" fillId="2" borderId="0" xfId="0" applyNumberFormat="1" applyFont="1" applyFill="1" applyBorder="1" applyAlignment="1">
      <alignment vertical="center" wrapText="1"/>
    </xf>
    <xf numFmtId="164" fontId="3" fillId="0" borderId="0" xfId="0" applyNumberFormat="1" applyFont="1" applyBorder="1" applyAlignment="1">
      <alignment vertical="center" wrapText="1"/>
    </xf>
    <xf numFmtId="164" fontId="3" fillId="0" borderId="0" xfId="0" applyNumberFormat="1" applyFont="1" applyBorder="1" applyAlignment="1">
      <alignment horizontal="center" vertical="center" wrapText="1"/>
    </xf>
    <xf numFmtId="164" fontId="1" fillId="0" borderId="0" xfId="0" applyNumberFormat="1" applyFont="1" applyBorder="1" applyAlignment="1">
      <alignment vertical="center" wrapText="1"/>
    </xf>
    <xf numFmtId="1" fontId="2" fillId="0" borderId="0" xfId="0" applyNumberFormat="1" applyFont="1" applyAlignment="1">
      <alignment vertical="center" wrapText="1"/>
    </xf>
    <xf numFmtId="1" fontId="2" fillId="2" borderId="0" xfId="0" applyNumberFormat="1" applyFont="1" applyFill="1" applyBorder="1" applyAlignment="1">
      <alignment horizontal="center" vertical="center" wrapText="1"/>
    </xf>
    <xf numFmtId="1" fontId="1" fillId="0" borderId="9" xfId="0" applyNumberFormat="1" applyFont="1" applyBorder="1" applyAlignment="1">
      <alignment horizontal="left" vertical="center" wrapText="1"/>
    </xf>
    <xf numFmtId="17" fontId="1" fillId="0" borderId="1" xfId="0" applyNumberFormat="1" applyFont="1" applyBorder="1" applyAlignment="1">
      <alignment horizontal="center" vertical="center" wrapText="1"/>
    </xf>
    <xf numFmtId="1" fontId="2" fillId="2" borderId="1" xfId="0" applyNumberFormat="1" applyFont="1" applyFill="1" applyBorder="1" applyAlignment="1">
      <alignment horizontal="center" vertical="center" wrapText="1"/>
    </xf>
    <xf numFmtId="17" fontId="1" fillId="0" borderId="1" xfId="0" applyNumberFormat="1" applyFont="1" applyBorder="1" applyAlignment="1">
      <alignment horizontal="center" vertical="center" wrapText="1"/>
    </xf>
    <xf numFmtId="1" fontId="2" fillId="2" borderId="1" xfId="0" applyNumberFormat="1" applyFont="1" applyFill="1" applyBorder="1" applyAlignment="1">
      <alignment horizontal="center" vertical="center" wrapText="1"/>
    </xf>
    <xf numFmtId="1" fontId="1" fillId="3" borderId="1" xfId="0" applyNumberFormat="1" applyFont="1" applyFill="1" applyBorder="1" applyAlignment="1">
      <alignment horizontal="center" vertical="center" wrapText="1"/>
    </xf>
    <xf numFmtId="1" fontId="1" fillId="0" borderId="20" xfId="0" applyNumberFormat="1" applyFont="1" applyBorder="1" applyAlignment="1">
      <alignment vertical="center" wrapText="1"/>
    </xf>
    <xf numFmtId="1" fontId="1" fillId="0" borderId="10" xfId="0" applyNumberFormat="1" applyFont="1" applyBorder="1" applyAlignment="1">
      <alignment vertical="center" wrapText="1"/>
    </xf>
    <xf numFmtId="1" fontId="1" fillId="0" borderId="2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7" fontId="4" fillId="5" borderId="3" xfId="0" applyNumberFormat="1" applyFont="1" applyFill="1" applyBorder="1" applyAlignment="1">
      <alignment horizontal="center" vertical="center" wrapText="1"/>
    </xf>
    <xf numFmtId="1" fontId="1" fillId="0" borderId="17" xfId="0" applyNumberFormat="1" applyFont="1" applyBorder="1" applyAlignment="1">
      <alignment horizontal="left" vertical="center" wrapText="1"/>
    </xf>
    <xf numFmtId="164" fontId="1" fillId="0" borderId="14" xfId="0" applyNumberFormat="1" applyFont="1" applyFill="1" applyBorder="1" applyAlignment="1">
      <alignment vertical="center" wrapText="1"/>
    </xf>
    <xf numFmtId="164" fontId="1" fillId="0" borderId="0" xfId="0" applyNumberFormat="1" applyFont="1" applyFill="1" applyBorder="1" applyAlignment="1">
      <alignment horizontal="center" vertical="center" wrapText="1"/>
    </xf>
    <xf numFmtId="164" fontId="1" fillId="0" borderId="1" xfId="0" applyNumberFormat="1" applyFont="1" applyFill="1" applyBorder="1" applyAlignment="1">
      <alignment vertical="center" wrapText="1"/>
    </xf>
    <xf numFmtId="164" fontId="2" fillId="0" borderId="1" xfId="0" applyNumberFormat="1" applyFont="1" applyFill="1" applyBorder="1" applyAlignment="1">
      <alignment horizontal="center" vertical="center" wrapText="1"/>
    </xf>
    <xf numFmtId="164" fontId="1" fillId="0" borderId="10" xfId="0" applyNumberFormat="1" applyFont="1" applyFill="1" applyBorder="1" applyAlignment="1">
      <alignment vertical="center" wrapText="1"/>
    </xf>
    <xf numFmtId="164" fontId="1" fillId="0" borderId="9" xfId="0" applyNumberFormat="1" applyFont="1" applyFill="1" applyBorder="1" applyAlignment="1">
      <alignment vertical="center" wrapText="1"/>
    </xf>
    <xf numFmtId="164" fontId="1" fillId="0" borderId="0" xfId="0" applyNumberFormat="1" applyFont="1" applyFill="1" applyAlignment="1">
      <alignment vertical="center" wrapText="1"/>
    </xf>
    <xf numFmtId="164" fontId="1" fillId="0" borderId="1" xfId="0" applyNumberFormat="1" applyFont="1" applyBorder="1" applyAlignment="1">
      <alignment horizontal="left" vertical="center" wrapText="1"/>
    </xf>
    <xf numFmtId="164" fontId="3" fillId="0" borderId="1" xfId="0" applyNumberFormat="1" applyFont="1" applyBorder="1" applyAlignment="1">
      <alignment horizontal="center" vertical="center" wrapText="1"/>
    </xf>
    <xf numFmtId="1" fontId="4" fillId="0" borderId="0" xfId="0" applyNumberFormat="1" applyFont="1" applyFill="1" applyAlignment="1">
      <alignment vertical="center" wrapText="1"/>
    </xf>
    <xf numFmtId="9" fontId="4" fillId="0" borderId="22" xfId="0" applyNumberFormat="1" applyFont="1" applyFill="1" applyBorder="1" applyAlignment="1">
      <alignment horizontal="center" vertical="center" wrapText="1"/>
    </xf>
    <xf numFmtId="1" fontId="14" fillId="0" borderId="10"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64" fontId="1" fillId="0" borderId="3"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164" fontId="1" fillId="0" borderId="17" xfId="0" applyNumberFormat="1" applyFont="1" applyFill="1" applyBorder="1" applyAlignment="1">
      <alignment horizontal="center" vertical="center" wrapText="1"/>
    </xf>
    <xf numFmtId="17" fontId="1" fillId="0" borderId="1" xfId="0" applyNumberFormat="1" applyFont="1" applyBorder="1" applyAlignment="1">
      <alignment horizontal="center" vertical="center" wrapText="1"/>
    </xf>
    <xf numFmtId="1" fontId="2" fillId="2" borderId="1" xfId="0" applyNumberFormat="1" applyFont="1" applyFill="1" applyBorder="1" applyAlignment="1">
      <alignment horizontal="center" vertical="center" wrapText="1"/>
    </xf>
    <xf numFmtId="1" fontId="2" fillId="2" borderId="3" xfId="0"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1" fontId="2" fillId="2" borderId="17" xfId="0" applyNumberFormat="1" applyFont="1" applyFill="1" applyBorder="1" applyAlignment="1">
      <alignment horizontal="center" vertical="center" wrapText="1"/>
    </xf>
    <xf numFmtId="1" fontId="1" fillId="0" borderId="15" xfId="0" applyNumberFormat="1" applyFont="1" applyFill="1" applyBorder="1" applyAlignment="1">
      <alignment horizontal="left" vertical="center" wrapText="1"/>
    </xf>
    <xf numFmtId="1" fontId="1" fillId="0" borderId="16" xfId="0" applyNumberFormat="1" applyFont="1" applyFill="1" applyBorder="1" applyAlignment="1">
      <alignment horizontal="left" vertical="center" wrapText="1"/>
    </xf>
    <xf numFmtId="1" fontId="10" fillId="0" borderId="5" xfId="0" applyNumberFormat="1" applyFont="1" applyBorder="1" applyAlignment="1">
      <alignment horizontal="center" vertical="center" wrapText="1"/>
    </xf>
    <xf numFmtId="1" fontId="13" fillId="0" borderId="5" xfId="0" applyNumberFormat="1" applyFont="1" applyBorder="1" applyAlignment="1">
      <alignment horizontal="center" vertical="center" wrapText="1"/>
    </xf>
    <xf numFmtId="1" fontId="11" fillId="0" borderId="7" xfId="0" applyNumberFormat="1" applyFont="1" applyBorder="1" applyAlignment="1">
      <alignment horizontal="center" vertical="center" wrapText="1"/>
    </xf>
    <xf numFmtId="1" fontId="11" fillId="0" borderId="12" xfId="0" applyNumberFormat="1" applyFont="1" applyBorder="1" applyAlignment="1">
      <alignment horizontal="center" vertical="center" wrapText="1"/>
    </xf>
    <xf numFmtId="1" fontId="11" fillId="0" borderId="6" xfId="0" applyNumberFormat="1" applyFont="1" applyBorder="1" applyAlignment="1">
      <alignment horizontal="center" vertical="center" wrapText="1"/>
    </xf>
    <xf numFmtId="1" fontId="1" fillId="3" borderId="18" xfId="0" applyNumberFormat="1" applyFont="1" applyFill="1" applyBorder="1" applyAlignment="1" applyProtection="1">
      <alignment horizontal="center" vertical="center" wrapText="1"/>
      <protection locked="0"/>
    </xf>
    <xf numFmtId="1" fontId="1" fillId="3" borderId="19" xfId="0" applyNumberFormat="1" applyFont="1" applyFill="1" applyBorder="1" applyAlignment="1" applyProtection="1">
      <alignment horizontal="center" vertical="center" wrapText="1"/>
      <protection locked="0"/>
    </xf>
    <xf numFmtId="1" fontId="1" fillId="0" borderId="2" xfId="0" applyNumberFormat="1" applyFont="1" applyBorder="1" applyAlignment="1">
      <alignment horizontal="center" vertical="center" wrapText="1"/>
    </xf>
    <xf numFmtId="1" fontId="1" fillId="0" borderId="17" xfId="0" applyNumberFormat="1" applyFont="1" applyBorder="1" applyAlignment="1">
      <alignment horizontal="center" vertical="center" wrapText="1"/>
    </xf>
    <xf numFmtId="164" fontId="15" fillId="0" borderId="1" xfId="0" applyNumberFormat="1" applyFont="1" applyFill="1" applyBorder="1" applyAlignment="1">
      <alignment horizontal="center" vertical="center" wrapText="1"/>
    </xf>
    <xf numFmtId="17" fontId="16" fillId="5" borderId="1" xfId="0" applyNumberFormat="1" applyFont="1" applyFill="1" applyBorder="1" applyAlignment="1">
      <alignment horizontal="center" vertical="center" wrapText="1"/>
    </xf>
  </cellXfs>
  <cellStyles count="6">
    <cellStyle name="Hyperlink" xfId="2" xr:uid="{00000000-0005-0000-0000-000000000000}"/>
    <cellStyle name="Hyperlink 2" xfId="4" xr:uid="{00000000-0005-0000-0000-000001000000}"/>
    <cellStyle name="Normal" xfId="0" builtinId="0"/>
    <cellStyle name="Normal 2" xfId="3" xr:uid="{00000000-0005-0000-0000-000003000000}"/>
    <cellStyle name="Normal 3" xfId="1" xr:uid="{00000000-0005-0000-0000-000004000000}"/>
    <cellStyle name="Normal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127000</xdr:rowOff>
    </xdr:from>
    <xdr:to>
      <xdr:col>1</xdr:col>
      <xdr:colOff>2152650</xdr:colOff>
      <xdr:row>3</xdr:row>
      <xdr:rowOff>209549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6375" y="127000"/>
          <a:ext cx="2152650" cy="971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127000</xdr:rowOff>
    </xdr:from>
    <xdr:to>
      <xdr:col>1</xdr:col>
      <xdr:colOff>2152650</xdr:colOff>
      <xdr:row>3</xdr:row>
      <xdr:rowOff>209549</xdr:rowOff>
    </xdr:to>
    <xdr:pic>
      <xdr:nvPicPr>
        <xdr:cNvPr id="2" name="Picture 1">
          <a:extLst>
            <a:ext uri="{FF2B5EF4-FFF2-40B4-BE49-F238E27FC236}">
              <a16:creationId xmlns:a16="http://schemas.microsoft.com/office/drawing/2014/main" id="{E5E55F63-4DD9-4DFE-A65B-A240D2DACA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250" y="127000"/>
          <a:ext cx="2152650" cy="9715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04"/>
  <sheetViews>
    <sheetView showGridLines="0" topLeftCell="B2" zoomScaleNormal="100" workbookViewId="0">
      <selection activeCell="K23" sqref="K23"/>
    </sheetView>
  </sheetViews>
  <sheetFormatPr defaultColWidth="8.81640625" defaultRowHeight="12.5" x14ac:dyDescent="0.35"/>
  <cols>
    <col min="1" max="1" width="3.1796875" style="47" customWidth="1"/>
    <col min="2" max="2" width="40.26953125" style="6" customWidth="1"/>
    <col min="3" max="3" width="19.81640625" style="6" customWidth="1"/>
    <col min="4" max="4" width="16" style="6" customWidth="1"/>
    <col min="5" max="5" width="21.26953125" style="6" customWidth="1"/>
    <col min="6" max="6" width="35.7265625" style="5" customWidth="1"/>
    <col min="7" max="19" width="17.1796875" style="5" customWidth="1"/>
    <col min="20" max="20" width="1.7265625" style="5" customWidth="1"/>
    <col min="21" max="21" width="17.1796875" style="5" customWidth="1"/>
    <col min="22" max="22" width="1.54296875" style="7" customWidth="1"/>
    <col min="23" max="23" width="17.1796875" style="5" customWidth="1"/>
    <col min="24" max="16384" width="8.81640625" style="5"/>
  </cols>
  <sheetData>
    <row r="1" spans="1:23" ht="39.75" customHeight="1" x14ac:dyDescent="0.35">
      <c r="B1" s="107" t="s">
        <v>55</v>
      </c>
      <c r="C1" s="107"/>
      <c r="D1" s="107"/>
      <c r="E1" s="107"/>
      <c r="F1" s="107"/>
      <c r="G1" s="107"/>
      <c r="H1" s="107"/>
      <c r="I1" s="107"/>
      <c r="J1" s="107"/>
      <c r="K1" s="107"/>
      <c r="L1" s="107"/>
      <c r="M1" s="107"/>
      <c r="N1" s="107"/>
      <c r="O1" s="107"/>
      <c r="P1" s="107"/>
      <c r="Q1" s="107"/>
      <c r="R1" s="107"/>
      <c r="S1" s="107"/>
      <c r="T1" s="107"/>
      <c r="U1" s="107"/>
      <c r="V1" s="107"/>
      <c r="W1" s="107"/>
    </row>
    <row r="2" spans="1:23" ht="18" customHeight="1" x14ac:dyDescent="0.35">
      <c r="B2" s="108"/>
      <c r="C2" s="108"/>
      <c r="D2" s="108"/>
      <c r="E2" s="108"/>
      <c r="F2" s="108"/>
      <c r="G2" s="108"/>
      <c r="H2" s="108"/>
      <c r="I2" s="108"/>
      <c r="J2" s="108"/>
      <c r="K2" s="108"/>
      <c r="L2" s="108"/>
      <c r="M2" s="108"/>
      <c r="N2" s="108"/>
      <c r="O2" s="108"/>
      <c r="P2" s="108"/>
      <c r="Q2" s="108"/>
      <c r="R2" s="108"/>
      <c r="S2" s="108"/>
      <c r="T2" s="108"/>
      <c r="U2" s="108"/>
      <c r="V2" s="108"/>
      <c r="W2" s="108"/>
    </row>
    <row r="3" spans="1:23" s="45" customFormat="1" ht="12.75" customHeight="1" x14ac:dyDescent="0.35">
      <c r="A3" s="29"/>
      <c r="B3" s="56"/>
      <c r="C3" s="56"/>
      <c r="D3" s="56"/>
      <c r="E3" s="56"/>
      <c r="F3" s="56"/>
      <c r="G3" s="56"/>
      <c r="H3" s="56"/>
      <c r="I3" s="56"/>
      <c r="J3" s="56"/>
      <c r="K3" s="56"/>
      <c r="L3" s="56"/>
      <c r="M3" s="56"/>
      <c r="N3" s="56"/>
      <c r="O3" s="56"/>
      <c r="P3" s="56"/>
      <c r="Q3" s="56"/>
      <c r="R3" s="56"/>
      <c r="S3" s="56"/>
      <c r="T3" s="56"/>
      <c r="U3" s="56"/>
      <c r="V3" s="56"/>
      <c r="W3" s="56"/>
    </row>
    <row r="4" spans="1:23" ht="45.75" customHeight="1" x14ac:dyDescent="0.35">
      <c r="B4" s="109" t="s">
        <v>41</v>
      </c>
      <c r="C4" s="110"/>
      <c r="D4" s="110"/>
      <c r="E4" s="110"/>
      <c r="F4" s="110"/>
      <c r="G4" s="110"/>
      <c r="H4" s="110"/>
      <c r="I4" s="110"/>
      <c r="J4" s="110"/>
      <c r="K4" s="110"/>
      <c r="L4" s="110"/>
      <c r="M4" s="110"/>
      <c r="N4" s="110"/>
      <c r="O4" s="110"/>
      <c r="P4" s="110"/>
      <c r="Q4" s="110"/>
      <c r="R4" s="110"/>
      <c r="S4" s="110"/>
      <c r="T4" s="110"/>
      <c r="U4" s="110"/>
      <c r="V4" s="110"/>
      <c r="W4" s="111"/>
    </row>
    <row r="5" spans="1:23" x14ac:dyDescent="0.35">
      <c r="A5" s="58"/>
      <c r="B5" s="43"/>
      <c r="C5" s="43"/>
      <c r="D5" s="43"/>
      <c r="E5" s="38"/>
      <c r="F5" s="34"/>
      <c r="G5" s="45"/>
      <c r="H5" s="45"/>
      <c r="I5" s="45"/>
      <c r="J5" s="45"/>
      <c r="K5" s="45"/>
      <c r="L5" s="45"/>
      <c r="M5" s="45"/>
      <c r="N5" s="45"/>
      <c r="O5" s="45"/>
      <c r="P5" s="45"/>
      <c r="Q5" s="45"/>
      <c r="R5" s="45"/>
      <c r="S5" s="45"/>
      <c r="T5" s="34"/>
      <c r="U5" s="34"/>
      <c r="V5" s="34"/>
      <c r="W5" s="34"/>
    </row>
    <row r="6" spans="1:23" ht="23.25" customHeight="1" x14ac:dyDescent="0.35">
      <c r="A6" s="58"/>
      <c r="B6" s="61"/>
      <c r="C6" s="61"/>
      <c r="D6" s="61"/>
      <c r="E6" s="80"/>
      <c r="F6" s="78"/>
      <c r="G6" s="82">
        <v>43313</v>
      </c>
      <c r="H6" s="82">
        <v>43344</v>
      </c>
      <c r="I6" s="82">
        <v>43374</v>
      </c>
      <c r="J6" s="82">
        <v>43405</v>
      </c>
      <c r="K6" s="82">
        <v>43435</v>
      </c>
      <c r="L6" s="82">
        <v>43466</v>
      </c>
      <c r="M6" s="82">
        <v>43497</v>
      </c>
      <c r="N6" s="82">
        <v>43525</v>
      </c>
      <c r="O6" s="82">
        <v>43556</v>
      </c>
      <c r="P6" s="82">
        <v>43586</v>
      </c>
      <c r="Q6" s="82">
        <v>43617</v>
      </c>
      <c r="R6" s="36">
        <v>43647</v>
      </c>
      <c r="S6" s="117" t="s">
        <v>59</v>
      </c>
      <c r="T6" s="79"/>
      <c r="U6" s="12" t="s">
        <v>56</v>
      </c>
      <c r="V6" s="47"/>
      <c r="W6" s="12" t="s">
        <v>16</v>
      </c>
    </row>
    <row r="7" spans="1:23" s="90" customFormat="1" ht="23.25" customHeight="1" x14ac:dyDescent="0.35">
      <c r="A7" s="84"/>
      <c r="B7" s="85"/>
      <c r="C7" s="85"/>
      <c r="D7" s="85"/>
      <c r="E7" s="97" t="str">
        <f>D26</f>
        <v>ACT2</v>
      </c>
      <c r="F7" s="86" t="str">
        <f>IF(E7="ACT1",F10,IF(E7="ACT2",F13,"Set whether levy funded or not"))</f>
        <v>Non-levy allocation funding</v>
      </c>
      <c r="G7" s="87">
        <f>IF($E$7="ACT1",G10,IF($E$7="ACT2",G13,0))</f>
        <v>0</v>
      </c>
      <c r="H7" s="87">
        <f t="shared" ref="H7:Q7" si="0">IF($E$7="ACT1",H10,IF($E$7="ACT2",H13,0))</f>
        <v>0</v>
      </c>
      <c r="I7" s="87">
        <f t="shared" si="0"/>
        <v>0</v>
      </c>
      <c r="J7" s="87">
        <f t="shared" si="0"/>
        <v>60.000000000000007</v>
      </c>
      <c r="K7" s="87">
        <f t="shared" si="0"/>
        <v>60.000000000000007</v>
      </c>
      <c r="L7" s="87">
        <f t="shared" si="0"/>
        <v>60.000000000000007</v>
      </c>
      <c r="M7" s="87">
        <f t="shared" si="0"/>
        <v>60.000000000000007</v>
      </c>
      <c r="N7" s="87">
        <f t="shared" si="0"/>
        <v>60.000000000000007</v>
      </c>
      <c r="O7" s="87">
        <f t="shared" si="0"/>
        <v>60.000000000000007</v>
      </c>
      <c r="P7" s="87">
        <f t="shared" si="0"/>
        <v>60.000000000000007</v>
      </c>
      <c r="Q7" s="87">
        <f t="shared" si="0"/>
        <v>60.000000000000007</v>
      </c>
      <c r="R7" s="87">
        <f t="shared" ref="R7" si="1">IF($E$7="ACT1",R10,IF($E$7="ACT2",R13,0))</f>
        <v>60.000000000000007</v>
      </c>
      <c r="S7" s="116">
        <f>SUM(G7:R7)</f>
        <v>540.00000000000011</v>
      </c>
      <c r="T7" s="88"/>
      <c r="U7" s="87">
        <f t="shared" ref="U7:U8" si="2">IF($E$7="ACT1",U10,IF($E$7="ACT2",U13,0))</f>
        <v>359.99999999999989</v>
      </c>
      <c r="V7" s="89"/>
      <c r="W7" s="87">
        <f>IF($E$7="ACT1",W10,IF($E$7="ACT2",W13,0))</f>
        <v>900</v>
      </c>
    </row>
    <row r="8" spans="1:23" s="90" customFormat="1" ht="23.25" customHeight="1" x14ac:dyDescent="0.35">
      <c r="A8" s="84"/>
      <c r="B8" s="85"/>
      <c r="C8" s="85"/>
      <c r="D8" s="85"/>
      <c r="E8" s="98"/>
      <c r="F8" s="86" t="str">
        <f>IF(E7="ACT1",F11,IF(E7="ACT2",F14,"Set whether levy funded or not"))</f>
        <v>Employer contribution</v>
      </c>
      <c r="G8" s="87">
        <f>IF($E$7="ACT1",G11,IF($E$7="ACT2",G14,0))</f>
        <v>0</v>
      </c>
      <c r="H8" s="87">
        <f t="shared" ref="H8:Q8" si="3">IF($E$7="ACT1",H11,IF($E$7="ACT2",H14,0))</f>
        <v>0</v>
      </c>
      <c r="I8" s="87">
        <f t="shared" si="3"/>
        <v>0</v>
      </c>
      <c r="J8" s="87">
        <f t="shared" si="3"/>
        <v>6.6666666666666643</v>
      </c>
      <c r="K8" s="87">
        <f t="shared" si="3"/>
        <v>6.6666666666666643</v>
      </c>
      <c r="L8" s="87">
        <f t="shared" si="3"/>
        <v>6.6666666666666643</v>
      </c>
      <c r="M8" s="87">
        <f t="shared" si="3"/>
        <v>6.6666666666666643</v>
      </c>
      <c r="N8" s="87">
        <f t="shared" si="3"/>
        <v>6.6666666666666643</v>
      </c>
      <c r="O8" s="87">
        <f t="shared" si="3"/>
        <v>6.6666666666666643</v>
      </c>
      <c r="P8" s="87">
        <f t="shared" si="3"/>
        <v>6.6666666666666643</v>
      </c>
      <c r="Q8" s="87">
        <f t="shared" si="3"/>
        <v>6.6666666666666643</v>
      </c>
      <c r="R8" s="87">
        <f t="shared" ref="R8" si="4">IF($E$7="ACT1",R11,IF($E$7="ACT2",R14,0))</f>
        <v>6.6666666666666643</v>
      </c>
      <c r="S8" s="116">
        <f>SUM(G8:R8)</f>
        <v>59.999999999999979</v>
      </c>
      <c r="T8" s="88"/>
      <c r="U8" s="87">
        <f t="shared" si="2"/>
        <v>40</v>
      </c>
      <c r="V8" s="89"/>
      <c r="W8" s="87">
        <f t="shared" ref="W8" si="5">IF($E$7="ACT1",W11,IF($E$7="ACT2",W14,0))</f>
        <v>100</v>
      </c>
    </row>
    <row r="9" spans="1:23" s="90" customFormat="1" ht="23.25" customHeight="1" x14ac:dyDescent="0.35">
      <c r="A9" s="84"/>
      <c r="B9" s="85"/>
      <c r="C9" s="85"/>
      <c r="D9" s="85"/>
      <c r="E9" s="99"/>
      <c r="F9" s="91" t="str">
        <f>IF(E7="ACT1",F12,IF(E7="ACT2",F15,"Set whether levy funded or not"))</f>
        <v>Total income</v>
      </c>
      <c r="G9" s="87">
        <f>G7+G8</f>
        <v>0</v>
      </c>
      <c r="H9" s="87">
        <f t="shared" ref="H9:R9" si="6">H7+H8</f>
        <v>0</v>
      </c>
      <c r="I9" s="87">
        <f t="shared" si="6"/>
        <v>0</v>
      </c>
      <c r="J9" s="87">
        <f t="shared" si="6"/>
        <v>66.666666666666671</v>
      </c>
      <c r="K9" s="87">
        <f t="shared" si="6"/>
        <v>66.666666666666671</v>
      </c>
      <c r="L9" s="87">
        <f t="shared" si="6"/>
        <v>66.666666666666671</v>
      </c>
      <c r="M9" s="87">
        <f t="shared" si="6"/>
        <v>66.666666666666671</v>
      </c>
      <c r="N9" s="87">
        <f t="shared" si="6"/>
        <v>66.666666666666671</v>
      </c>
      <c r="O9" s="87">
        <f t="shared" si="6"/>
        <v>66.666666666666671</v>
      </c>
      <c r="P9" s="87">
        <f t="shared" si="6"/>
        <v>66.666666666666671</v>
      </c>
      <c r="Q9" s="87">
        <f t="shared" si="6"/>
        <v>66.666666666666671</v>
      </c>
      <c r="R9" s="87">
        <f t="shared" si="6"/>
        <v>66.666666666666671</v>
      </c>
      <c r="S9" s="116">
        <f>SUM(G9:R9)</f>
        <v>600</v>
      </c>
      <c r="T9" s="88"/>
      <c r="U9" s="87">
        <f t="shared" ref="U9" si="7">U7+U8</f>
        <v>399.99999999999989</v>
      </c>
      <c r="V9" s="89"/>
      <c r="W9" s="87">
        <f>W7+W8</f>
        <v>1000</v>
      </c>
    </row>
    <row r="10" spans="1:23" ht="23.25" hidden="1" customHeight="1" x14ac:dyDescent="0.35">
      <c r="A10" s="58"/>
      <c r="B10" s="61"/>
      <c r="C10" s="61"/>
      <c r="D10" s="61"/>
      <c r="E10" s="114" t="s">
        <v>47</v>
      </c>
      <c r="F10" s="83" t="s">
        <v>44</v>
      </c>
      <c r="G10" s="2">
        <f>IF($C$26="Y",G37+G38+G39+G40+G41+G42,0)</f>
        <v>0</v>
      </c>
      <c r="H10" s="2">
        <f t="shared" ref="H10:Q10" si="8">IF($C$26="Y",H37+H38+H39+H40+H41+H42,0)</f>
        <v>0</v>
      </c>
      <c r="I10" s="2">
        <f t="shared" si="8"/>
        <v>0</v>
      </c>
      <c r="J10" s="2">
        <f t="shared" si="8"/>
        <v>0</v>
      </c>
      <c r="K10" s="2">
        <f t="shared" si="8"/>
        <v>0</v>
      </c>
      <c r="L10" s="2">
        <f t="shared" si="8"/>
        <v>0</v>
      </c>
      <c r="M10" s="2">
        <f t="shared" si="8"/>
        <v>0</v>
      </c>
      <c r="N10" s="2">
        <f t="shared" si="8"/>
        <v>0</v>
      </c>
      <c r="O10" s="2">
        <f t="shared" si="8"/>
        <v>0</v>
      </c>
      <c r="P10" s="2">
        <f t="shared" si="8"/>
        <v>0</v>
      </c>
      <c r="Q10" s="2">
        <f t="shared" si="8"/>
        <v>0</v>
      </c>
      <c r="R10" s="2">
        <f>IF($C$26="Y",R37+R38+R39+R40+R41+R42,0)</f>
        <v>0</v>
      </c>
      <c r="S10" s="92"/>
      <c r="T10" s="79"/>
      <c r="U10" s="2">
        <f>IF($C$26="Y",U37+U38+U39+U40+U41+U42,0)</f>
        <v>0</v>
      </c>
      <c r="V10" s="34"/>
      <c r="W10" s="2">
        <f>IF($C$26="Y",W37+W38+W39+W40+W41+W42,0)</f>
        <v>0</v>
      </c>
    </row>
    <row r="11" spans="1:23" ht="23.25" hidden="1" customHeight="1" x14ac:dyDescent="0.35">
      <c r="A11" s="58"/>
      <c r="B11" s="61"/>
      <c r="C11" s="61"/>
      <c r="D11" s="61"/>
      <c r="E11" s="114"/>
      <c r="F11" s="1" t="s">
        <v>49</v>
      </c>
      <c r="G11" s="2">
        <f t="shared" ref="G11:R11" si="9">IF($C$26="Y",G45+G46,0)</f>
        <v>0</v>
      </c>
      <c r="H11" s="2">
        <f t="shared" si="9"/>
        <v>0</v>
      </c>
      <c r="I11" s="2">
        <f t="shared" si="9"/>
        <v>0</v>
      </c>
      <c r="J11" s="2">
        <f t="shared" si="9"/>
        <v>0</v>
      </c>
      <c r="K11" s="2">
        <f t="shared" si="9"/>
        <v>0</v>
      </c>
      <c r="L11" s="2">
        <f t="shared" si="9"/>
        <v>0</v>
      </c>
      <c r="M11" s="2">
        <f t="shared" si="9"/>
        <v>0</v>
      </c>
      <c r="N11" s="2">
        <f t="shared" si="9"/>
        <v>0</v>
      </c>
      <c r="O11" s="2">
        <f t="shared" si="9"/>
        <v>0</v>
      </c>
      <c r="P11" s="2">
        <f t="shared" si="9"/>
        <v>0</v>
      </c>
      <c r="Q11" s="2">
        <f t="shared" si="9"/>
        <v>0</v>
      </c>
      <c r="R11" s="2">
        <f t="shared" si="9"/>
        <v>0</v>
      </c>
      <c r="S11" s="92"/>
      <c r="T11" s="79"/>
      <c r="U11" s="2">
        <f>IF($C$26="Y",U45+U46,0)</f>
        <v>0</v>
      </c>
      <c r="V11" s="34"/>
      <c r="W11" s="2">
        <f>IF($C$26="Y",W45+W46,0)</f>
        <v>0</v>
      </c>
    </row>
    <row r="12" spans="1:23" ht="23.25" hidden="1" customHeight="1" x14ac:dyDescent="0.35">
      <c r="A12" s="58"/>
      <c r="B12" s="61"/>
      <c r="C12" s="61"/>
      <c r="D12" s="61"/>
      <c r="E12" s="115"/>
      <c r="F12" s="1" t="s">
        <v>53</v>
      </c>
      <c r="G12" s="2">
        <f>G10+G11</f>
        <v>0</v>
      </c>
      <c r="H12" s="2">
        <f t="shared" ref="H12:R12" si="10">H10+H11</f>
        <v>0</v>
      </c>
      <c r="I12" s="2">
        <f t="shared" si="10"/>
        <v>0</v>
      </c>
      <c r="J12" s="2">
        <f t="shared" si="10"/>
        <v>0</v>
      </c>
      <c r="K12" s="2">
        <f t="shared" si="10"/>
        <v>0</v>
      </c>
      <c r="L12" s="2">
        <f t="shared" si="10"/>
        <v>0</v>
      </c>
      <c r="M12" s="2">
        <f t="shared" si="10"/>
        <v>0</v>
      </c>
      <c r="N12" s="2">
        <f t="shared" si="10"/>
        <v>0</v>
      </c>
      <c r="O12" s="2">
        <f t="shared" si="10"/>
        <v>0</v>
      </c>
      <c r="P12" s="2">
        <f t="shared" si="10"/>
        <v>0</v>
      </c>
      <c r="Q12" s="2">
        <f t="shared" si="10"/>
        <v>0</v>
      </c>
      <c r="R12" s="2">
        <f t="shared" si="10"/>
        <v>0</v>
      </c>
      <c r="S12" s="92"/>
      <c r="T12" s="79"/>
      <c r="U12" s="2">
        <f t="shared" ref="U12" si="11">U10+U11</f>
        <v>0</v>
      </c>
      <c r="V12" s="34"/>
      <c r="W12" s="2">
        <f>W10+W11</f>
        <v>0</v>
      </c>
    </row>
    <row r="13" spans="1:23" ht="23.25" hidden="1" customHeight="1" x14ac:dyDescent="0.35">
      <c r="A13" s="58"/>
      <c r="B13" s="61"/>
      <c r="C13" s="61"/>
      <c r="D13" s="61"/>
      <c r="E13" s="96" t="s">
        <v>52</v>
      </c>
      <c r="F13" s="1" t="s">
        <v>50</v>
      </c>
      <c r="G13" s="2">
        <f>IF($C$26="N",G37+G38+G39+G40+G41+G42+G45+G46,0)</f>
        <v>0</v>
      </c>
      <c r="H13" s="2">
        <f t="shared" ref="H13:Q13" si="12">IF($C$26="N",H37+H38+H39+H40+H41+H42+H45+H46,0)</f>
        <v>0</v>
      </c>
      <c r="I13" s="2">
        <f t="shared" si="12"/>
        <v>0</v>
      </c>
      <c r="J13" s="2">
        <f t="shared" si="12"/>
        <v>60.000000000000007</v>
      </c>
      <c r="K13" s="2">
        <f t="shared" si="12"/>
        <v>60.000000000000007</v>
      </c>
      <c r="L13" s="2">
        <f t="shared" si="12"/>
        <v>60.000000000000007</v>
      </c>
      <c r="M13" s="2">
        <f t="shared" si="12"/>
        <v>60.000000000000007</v>
      </c>
      <c r="N13" s="2">
        <f t="shared" si="12"/>
        <v>60.000000000000007</v>
      </c>
      <c r="O13" s="2">
        <f t="shared" si="12"/>
        <v>60.000000000000007</v>
      </c>
      <c r="P13" s="2">
        <f t="shared" si="12"/>
        <v>60.000000000000007</v>
      </c>
      <c r="Q13" s="2">
        <f t="shared" si="12"/>
        <v>60.000000000000007</v>
      </c>
      <c r="R13" s="2">
        <f t="shared" ref="R13" si="13">IF($C$26="N",R37+R38+R39+R40+R41+R42+R45+R46,0)</f>
        <v>60.000000000000007</v>
      </c>
      <c r="S13" s="92"/>
      <c r="T13" s="79"/>
      <c r="U13" s="2">
        <f t="shared" ref="U13" si="14">IF($C$26="N",U37+U38+U39+U40+U41+U42+U45+U46,0)</f>
        <v>359.99999999999989</v>
      </c>
      <c r="V13" s="34"/>
      <c r="W13" s="2">
        <f>IF($C$26="N",W37+W38+W39+W40+W41+W42+W45+W46,0)</f>
        <v>900</v>
      </c>
    </row>
    <row r="14" spans="1:23" ht="23.25" hidden="1" customHeight="1" x14ac:dyDescent="0.35">
      <c r="A14" s="58"/>
      <c r="B14" s="61"/>
      <c r="C14" s="61"/>
      <c r="D14" s="61"/>
      <c r="E14" s="96"/>
      <c r="F14" s="3" t="s">
        <v>51</v>
      </c>
      <c r="G14" s="2">
        <f>IF($C$26="N",(G37+G38+G39+G40+G41+G42)/0.9-(G37+G38+G39+G40+G41+G42),0)</f>
        <v>0</v>
      </c>
      <c r="H14" s="2">
        <f t="shared" ref="H14:Q14" si="15">IF($C$26="N",(H37+H38+H39+H40+H41+H42)/0.9-(H37+H38+H39+H40+H41+H42),0)</f>
        <v>0</v>
      </c>
      <c r="I14" s="2">
        <f t="shared" si="15"/>
        <v>0</v>
      </c>
      <c r="J14" s="2">
        <f t="shared" si="15"/>
        <v>6.6666666666666643</v>
      </c>
      <c r="K14" s="2">
        <f t="shared" si="15"/>
        <v>6.6666666666666643</v>
      </c>
      <c r="L14" s="2">
        <f t="shared" si="15"/>
        <v>6.6666666666666643</v>
      </c>
      <c r="M14" s="2">
        <f t="shared" si="15"/>
        <v>6.6666666666666643</v>
      </c>
      <c r="N14" s="2">
        <f t="shared" si="15"/>
        <v>6.6666666666666643</v>
      </c>
      <c r="O14" s="2">
        <f t="shared" si="15"/>
        <v>6.6666666666666643</v>
      </c>
      <c r="P14" s="2">
        <f t="shared" si="15"/>
        <v>6.6666666666666643</v>
      </c>
      <c r="Q14" s="2">
        <f t="shared" si="15"/>
        <v>6.6666666666666643</v>
      </c>
      <c r="R14" s="2">
        <f t="shared" ref="R14" si="16">IF($C$26="N",(R37+R38+R39+R40+R41+R42)/0.9-(R37+R38+R39+R40+R41+R42),0)</f>
        <v>6.6666666666666643</v>
      </c>
      <c r="S14" s="92"/>
      <c r="T14" s="79"/>
      <c r="U14" s="2">
        <f t="shared" ref="U14" si="17">IF($C$26="N",(U37+U38+U39+U40+U41+U42)/0.9-(U37+U38+U39+U40+U41+U42),0)</f>
        <v>40</v>
      </c>
      <c r="V14" s="34"/>
      <c r="W14" s="2">
        <f>IF($C$26="N",(W37+W38+W39+W40+W41+W42)/0.9-(W37+W38+W39+W40+W41+W42),0)</f>
        <v>100</v>
      </c>
    </row>
    <row r="15" spans="1:23" ht="23.25" hidden="1" customHeight="1" x14ac:dyDescent="0.35">
      <c r="A15" s="58"/>
      <c r="B15" s="61"/>
      <c r="C15" s="61"/>
      <c r="D15" s="61"/>
      <c r="E15" s="96"/>
      <c r="F15" s="9" t="s">
        <v>54</v>
      </c>
      <c r="G15" s="92">
        <f>G13+G14</f>
        <v>0</v>
      </c>
      <c r="H15" s="92">
        <f t="shared" ref="H15:R15" si="18">H13+H14</f>
        <v>0</v>
      </c>
      <c r="I15" s="92">
        <f t="shared" si="18"/>
        <v>0</v>
      </c>
      <c r="J15" s="92">
        <f t="shared" si="18"/>
        <v>66.666666666666671</v>
      </c>
      <c r="K15" s="92">
        <f t="shared" si="18"/>
        <v>66.666666666666671</v>
      </c>
      <c r="L15" s="92">
        <f t="shared" si="18"/>
        <v>66.666666666666671</v>
      </c>
      <c r="M15" s="92">
        <f t="shared" si="18"/>
        <v>66.666666666666671</v>
      </c>
      <c r="N15" s="92">
        <f t="shared" si="18"/>
        <v>66.666666666666671</v>
      </c>
      <c r="O15" s="92">
        <f t="shared" si="18"/>
        <v>66.666666666666671</v>
      </c>
      <c r="P15" s="92">
        <f t="shared" si="18"/>
        <v>66.666666666666671</v>
      </c>
      <c r="Q15" s="92">
        <f t="shared" si="18"/>
        <v>66.666666666666671</v>
      </c>
      <c r="R15" s="92">
        <f t="shared" si="18"/>
        <v>66.666666666666671</v>
      </c>
      <c r="S15" s="92"/>
      <c r="T15" s="79"/>
      <c r="U15" s="92">
        <f t="shared" ref="U15" si="19">U13+U14</f>
        <v>399.99999999999989</v>
      </c>
      <c r="V15" s="34"/>
      <c r="W15" s="92">
        <f>W13+W14</f>
        <v>1000</v>
      </c>
    </row>
    <row r="16" spans="1:23" ht="23.25" customHeight="1" x14ac:dyDescent="0.35">
      <c r="A16" s="58"/>
      <c r="B16" s="61"/>
      <c r="C16" s="61"/>
      <c r="D16" s="61"/>
      <c r="E16" s="39"/>
      <c r="G16" s="69"/>
      <c r="H16" s="69"/>
      <c r="I16" s="69" t="s">
        <v>45</v>
      </c>
      <c r="J16" s="69"/>
      <c r="K16" s="69"/>
      <c r="L16" s="69"/>
      <c r="M16" s="69"/>
      <c r="N16" s="69"/>
      <c r="O16" s="69"/>
      <c r="P16" s="69"/>
      <c r="Q16" s="69"/>
      <c r="R16" s="69"/>
      <c r="S16" s="67"/>
      <c r="T16" s="79"/>
      <c r="U16" s="34"/>
      <c r="V16" s="34"/>
      <c r="W16" s="34"/>
    </row>
    <row r="17" spans="1:23" ht="23.25" customHeight="1" x14ac:dyDescent="0.35">
      <c r="A17" s="58"/>
      <c r="B17" s="61"/>
      <c r="C17" s="61"/>
      <c r="D17" s="61"/>
      <c r="E17" s="39"/>
      <c r="F17" s="1" t="s">
        <v>48</v>
      </c>
      <c r="G17" s="2">
        <f>G43</f>
        <v>0</v>
      </c>
      <c r="H17" s="2">
        <f t="shared" ref="H17:Q17" si="20">H43</f>
        <v>0</v>
      </c>
      <c r="I17" s="2">
        <f t="shared" si="20"/>
        <v>0</v>
      </c>
      <c r="J17" s="2">
        <f t="shared" si="20"/>
        <v>0</v>
      </c>
      <c r="K17" s="2">
        <f t="shared" si="20"/>
        <v>0</v>
      </c>
      <c r="L17" s="2">
        <f t="shared" si="20"/>
        <v>500</v>
      </c>
      <c r="M17" s="2">
        <f t="shared" si="20"/>
        <v>0</v>
      </c>
      <c r="N17" s="2">
        <f t="shared" si="20"/>
        <v>0</v>
      </c>
      <c r="O17" s="2">
        <f t="shared" si="20"/>
        <v>0</v>
      </c>
      <c r="P17" s="2">
        <f t="shared" si="20"/>
        <v>0</v>
      </c>
      <c r="Q17" s="2">
        <f t="shared" si="20"/>
        <v>0</v>
      </c>
      <c r="R17" s="2">
        <f t="shared" ref="R17" si="21">R43</f>
        <v>0</v>
      </c>
      <c r="S17" s="92">
        <f>SUM(G17:R17)</f>
        <v>500</v>
      </c>
      <c r="T17" s="79"/>
      <c r="U17" s="2">
        <f>U43</f>
        <v>500</v>
      </c>
      <c r="V17" s="34"/>
      <c r="W17" s="2">
        <f t="shared" ref="W17:W18" si="22">W43</f>
        <v>1000</v>
      </c>
    </row>
    <row r="18" spans="1:23" ht="23.25" customHeight="1" x14ac:dyDescent="0.35">
      <c r="A18" s="58"/>
      <c r="B18" s="61"/>
      <c r="C18" s="61"/>
      <c r="D18" s="61"/>
      <c r="E18" s="39"/>
      <c r="F18" s="1" t="s">
        <v>46</v>
      </c>
      <c r="G18" s="2">
        <f>G44</f>
        <v>0</v>
      </c>
      <c r="H18" s="2">
        <f t="shared" ref="H18:Q18" si="23">H44</f>
        <v>0</v>
      </c>
      <c r="I18" s="2">
        <f t="shared" si="23"/>
        <v>0</v>
      </c>
      <c r="J18" s="2">
        <f t="shared" si="23"/>
        <v>0</v>
      </c>
      <c r="K18" s="2">
        <f t="shared" si="23"/>
        <v>0</v>
      </c>
      <c r="L18" s="2">
        <f t="shared" si="23"/>
        <v>500</v>
      </c>
      <c r="M18" s="2">
        <f t="shared" si="23"/>
        <v>0</v>
      </c>
      <c r="N18" s="2">
        <f t="shared" si="23"/>
        <v>0</v>
      </c>
      <c r="O18" s="2">
        <f t="shared" si="23"/>
        <v>0</v>
      </c>
      <c r="P18" s="2">
        <f t="shared" si="23"/>
        <v>0</v>
      </c>
      <c r="Q18" s="2">
        <f t="shared" si="23"/>
        <v>0</v>
      </c>
      <c r="R18" s="2">
        <f t="shared" ref="R18" si="24">R44</f>
        <v>0</v>
      </c>
      <c r="S18" s="92">
        <f>SUM(G18:R18)</f>
        <v>500</v>
      </c>
      <c r="T18" s="79"/>
      <c r="U18" s="2">
        <f>U44</f>
        <v>500</v>
      </c>
      <c r="V18" s="34"/>
      <c r="W18" s="2">
        <f t="shared" si="22"/>
        <v>1000</v>
      </c>
    </row>
    <row r="19" spans="1:23" ht="23.25" customHeight="1" x14ac:dyDescent="0.35">
      <c r="A19" s="58"/>
      <c r="B19" s="61"/>
      <c r="C19" s="61"/>
      <c r="D19" s="61"/>
      <c r="E19" s="39"/>
      <c r="F19" s="78"/>
      <c r="G19" s="7"/>
      <c r="H19" s="7"/>
      <c r="I19" s="7"/>
      <c r="J19" s="7"/>
      <c r="K19" s="7"/>
      <c r="L19" s="7"/>
      <c r="M19" s="7"/>
      <c r="N19" s="7"/>
      <c r="O19" s="7"/>
      <c r="P19" s="7"/>
      <c r="Q19" s="7"/>
      <c r="R19" s="7"/>
      <c r="S19" s="7"/>
      <c r="T19" s="79"/>
      <c r="U19" s="34"/>
      <c r="V19" s="34"/>
      <c r="W19" s="34"/>
    </row>
    <row r="20" spans="1:23" x14ac:dyDescent="0.35">
      <c r="A20" s="58"/>
      <c r="B20" s="61"/>
      <c r="C20" s="61"/>
      <c r="D20" s="61"/>
      <c r="E20" s="39"/>
      <c r="F20" s="78"/>
      <c r="G20" s="7"/>
      <c r="H20" s="7"/>
      <c r="I20" s="7"/>
      <c r="J20" s="7"/>
      <c r="K20" s="7"/>
      <c r="L20" s="7"/>
      <c r="M20" s="7"/>
      <c r="N20" s="7"/>
      <c r="O20" s="7"/>
      <c r="P20" s="7"/>
      <c r="Q20" s="7"/>
      <c r="R20" s="7"/>
      <c r="S20" s="7"/>
      <c r="T20" s="79"/>
      <c r="U20" s="34"/>
      <c r="V20" s="34"/>
      <c r="W20" s="34"/>
    </row>
    <row r="21" spans="1:23" ht="23.25" customHeight="1" x14ac:dyDescent="0.35">
      <c r="B21" s="1" t="str">
        <f>IF(C22="F","Apprenticeship framework title",IF(C22="S","Apprenticeship standard title","Choose F or S below"))</f>
        <v>Apprenticeship standard title</v>
      </c>
      <c r="C21" s="112" t="s">
        <v>34</v>
      </c>
      <c r="D21" s="113"/>
      <c r="E21" s="37"/>
      <c r="F21" s="35"/>
      <c r="G21" s="36">
        <v>43313</v>
      </c>
      <c r="H21" s="36">
        <v>43344</v>
      </c>
      <c r="I21" s="36">
        <v>43374</v>
      </c>
      <c r="J21" s="36">
        <v>43405</v>
      </c>
      <c r="K21" s="36">
        <v>43435</v>
      </c>
      <c r="L21" s="36">
        <v>43466</v>
      </c>
      <c r="M21" s="36">
        <v>43497</v>
      </c>
      <c r="N21" s="36">
        <v>43525</v>
      </c>
      <c r="O21" s="36">
        <v>43556</v>
      </c>
      <c r="P21" s="36">
        <v>43586</v>
      </c>
      <c r="Q21" s="36">
        <v>43617</v>
      </c>
      <c r="R21" s="36">
        <v>43647</v>
      </c>
      <c r="S21" s="12" t="s">
        <v>16</v>
      </c>
      <c r="T21" s="31"/>
      <c r="U21" s="29"/>
      <c r="V21" s="29"/>
      <c r="W21" s="29"/>
    </row>
    <row r="22" spans="1:23" ht="23.25" customHeight="1" x14ac:dyDescent="0.35">
      <c r="B22" s="1" t="s">
        <v>30</v>
      </c>
      <c r="C22" s="26" t="s">
        <v>57</v>
      </c>
      <c r="D22" s="95" t="str">
        <f>IF(C22="F"," ",IF(C22="S"," ","F or S?"))</f>
        <v xml:space="preserve"> </v>
      </c>
      <c r="E22" s="32"/>
      <c r="F22" s="1" t="s">
        <v>25</v>
      </c>
      <c r="G22" s="25">
        <v>0</v>
      </c>
      <c r="H22" s="57">
        <v>0</v>
      </c>
      <c r="I22" s="57">
        <v>0</v>
      </c>
      <c r="J22" s="57">
        <v>0</v>
      </c>
      <c r="K22" s="57">
        <v>0</v>
      </c>
      <c r="L22" s="57">
        <v>0</v>
      </c>
      <c r="M22" s="57">
        <v>0</v>
      </c>
      <c r="N22" s="57">
        <v>0</v>
      </c>
      <c r="O22" s="57">
        <v>0</v>
      </c>
      <c r="P22" s="57">
        <v>0</v>
      </c>
      <c r="Q22" s="57">
        <v>0</v>
      </c>
      <c r="R22" s="57">
        <v>0</v>
      </c>
      <c r="S22" s="8">
        <f>SUM(G22:R22)</f>
        <v>0</v>
      </c>
      <c r="T22" s="31"/>
      <c r="U22" s="29"/>
      <c r="V22" s="29"/>
      <c r="W22" s="29"/>
    </row>
    <row r="23" spans="1:23" ht="23.25" customHeight="1" x14ac:dyDescent="0.35">
      <c r="B23" s="1" t="s">
        <v>36</v>
      </c>
      <c r="C23" s="26">
        <v>2000</v>
      </c>
      <c r="D23" s="40"/>
      <c r="E23" s="32"/>
      <c r="F23" s="1" t="s">
        <v>26</v>
      </c>
      <c r="G23" s="57">
        <v>0</v>
      </c>
      <c r="H23" s="57">
        <v>0</v>
      </c>
      <c r="I23" s="57">
        <v>0</v>
      </c>
      <c r="J23" s="57">
        <v>1</v>
      </c>
      <c r="K23" s="57">
        <v>0</v>
      </c>
      <c r="L23" s="57">
        <v>0</v>
      </c>
      <c r="M23" s="57">
        <v>0</v>
      </c>
      <c r="N23" s="57">
        <v>0</v>
      </c>
      <c r="O23" s="57">
        <v>0</v>
      </c>
      <c r="P23" s="57">
        <v>0</v>
      </c>
      <c r="Q23" s="57">
        <v>0</v>
      </c>
      <c r="R23" s="57">
        <v>0</v>
      </c>
      <c r="S23" s="8">
        <f>SUM(G23:R23)</f>
        <v>1</v>
      </c>
      <c r="T23" s="31"/>
      <c r="U23" s="29"/>
      <c r="V23" s="29"/>
      <c r="W23" s="29"/>
    </row>
    <row r="24" spans="1:23" ht="23.25" customHeight="1" x14ac:dyDescent="0.35">
      <c r="B24" s="1" t="s">
        <v>35</v>
      </c>
      <c r="C24" s="26">
        <v>1000</v>
      </c>
      <c r="D24" s="40" t="str">
        <f>IF(C24&gt;C23,"WARNING"," ")</f>
        <v xml:space="preserve"> </v>
      </c>
      <c r="E24" s="32"/>
      <c r="F24" s="27" t="s">
        <v>27</v>
      </c>
      <c r="G24" s="10">
        <f>SUM(G22:G23)</f>
        <v>0</v>
      </c>
      <c r="H24" s="10">
        <f t="shared" ref="H24:O24" si="25">SUM(H22:H23)</f>
        <v>0</v>
      </c>
      <c r="I24" s="10">
        <f t="shared" si="25"/>
        <v>0</v>
      </c>
      <c r="J24" s="10">
        <f t="shared" si="25"/>
        <v>1</v>
      </c>
      <c r="K24" s="10">
        <f t="shared" si="25"/>
        <v>0</v>
      </c>
      <c r="L24" s="10">
        <f t="shared" si="25"/>
        <v>0</v>
      </c>
      <c r="M24" s="10">
        <f t="shared" si="25"/>
        <v>0</v>
      </c>
      <c r="N24" s="10">
        <f t="shared" si="25"/>
        <v>0</v>
      </c>
      <c r="O24" s="10">
        <f t="shared" si="25"/>
        <v>0</v>
      </c>
      <c r="P24" s="10">
        <f>SUM(P22:P23)</f>
        <v>0</v>
      </c>
      <c r="Q24" s="10">
        <f>SUM(Q22:Q23)</f>
        <v>0</v>
      </c>
      <c r="R24" s="10">
        <f>SUM(R22:R23)</f>
        <v>0</v>
      </c>
      <c r="S24" s="10">
        <f>SUM(S22:S23)</f>
        <v>1</v>
      </c>
      <c r="T24" s="31"/>
      <c r="U24" s="29"/>
      <c r="V24" s="29"/>
      <c r="W24" s="29"/>
    </row>
    <row r="25" spans="1:23" ht="23.25" customHeight="1" x14ac:dyDescent="0.35">
      <c r="B25" s="1" t="s">
        <v>42</v>
      </c>
      <c r="C25" s="25">
        <v>12</v>
      </c>
      <c r="D25" s="40"/>
      <c r="E25" s="32"/>
      <c r="F25" s="9" t="s">
        <v>28</v>
      </c>
      <c r="G25" s="57">
        <v>0</v>
      </c>
      <c r="H25" s="57">
        <v>0</v>
      </c>
      <c r="I25" s="57">
        <v>0</v>
      </c>
      <c r="J25" s="57">
        <v>0</v>
      </c>
      <c r="K25" s="57">
        <v>0</v>
      </c>
      <c r="L25" s="57">
        <v>0</v>
      </c>
      <c r="M25" s="57">
        <v>0</v>
      </c>
      <c r="N25" s="57">
        <v>0</v>
      </c>
      <c r="O25" s="57">
        <v>0</v>
      </c>
      <c r="P25" s="57">
        <v>0</v>
      </c>
      <c r="Q25" s="57">
        <v>0</v>
      </c>
      <c r="R25" s="57">
        <v>0</v>
      </c>
      <c r="S25" s="10">
        <f>SUM(G25:R25)</f>
        <v>0</v>
      </c>
      <c r="T25" s="31"/>
      <c r="U25" s="29"/>
      <c r="V25" s="29"/>
      <c r="W25" s="29"/>
    </row>
    <row r="26" spans="1:23" s="11" customFormat="1" ht="23.25" customHeight="1" x14ac:dyDescent="0.35">
      <c r="A26" s="55"/>
      <c r="B26" s="1" t="s">
        <v>43</v>
      </c>
      <c r="C26" s="77" t="s">
        <v>58</v>
      </c>
      <c r="D26" s="93" t="str">
        <f>IF(C26="Y","ACT1",IF(C26="N","ACT2","Y or N?"))</f>
        <v>ACT2</v>
      </c>
      <c r="E26" s="46"/>
      <c r="F26" s="13" t="s">
        <v>29</v>
      </c>
      <c r="G26" s="14">
        <f t="shared" ref="G26:R26" si="26">G24+G25</f>
        <v>0</v>
      </c>
      <c r="H26" s="14">
        <f t="shared" si="26"/>
        <v>0</v>
      </c>
      <c r="I26" s="14">
        <f t="shared" si="26"/>
        <v>0</v>
      </c>
      <c r="J26" s="14">
        <f t="shared" si="26"/>
        <v>1</v>
      </c>
      <c r="K26" s="14">
        <f t="shared" si="26"/>
        <v>0</v>
      </c>
      <c r="L26" s="14">
        <f t="shared" si="26"/>
        <v>0</v>
      </c>
      <c r="M26" s="14">
        <f t="shared" si="26"/>
        <v>0</v>
      </c>
      <c r="N26" s="14">
        <f t="shared" si="26"/>
        <v>0</v>
      </c>
      <c r="O26" s="14">
        <f t="shared" si="26"/>
        <v>0</v>
      </c>
      <c r="P26" s="14">
        <f>P24+P25</f>
        <v>0</v>
      </c>
      <c r="Q26" s="14">
        <f t="shared" si="26"/>
        <v>0</v>
      </c>
      <c r="R26" s="14">
        <f t="shared" si="26"/>
        <v>0</v>
      </c>
      <c r="S26" s="14">
        <f>S24+S25</f>
        <v>1</v>
      </c>
      <c r="T26" s="44"/>
      <c r="U26" s="30"/>
      <c r="V26" s="30"/>
      <c r="W26" s="30"/>
    </row>
    <row r="27" spans="1:23" s="11" customFormat="1" ht="23.25" customHeight="1" x14ac:dyDescent="0.35">
      <c r="A27" s="55"/>
      <c r="B27" s="94">
        <f>IF(C26="Y",100%,IF(C26="N",90%,0))</f>
        <v>0.9</v>
      </c>
      <c r="D27" s="64"/>
      <c r="E27" s="41"/>
      <c r="F27" s="105" t="s">
        <v>37</v>
      </c>
      <c r="G27" s="106"/>
      <c r="H27" s="42"/>
      <c r="I27" s="42"/>
      <c r="J27" s="42"/>
      <c r="K27" s="42"/>
      <c r="L27" s="42"/>
      <c r="M27" s="42"/>
      <c r="N27" s="42"/>
      <c r="O27" s="42"/>
      <c r="P27" s="42"/>
      <c r="Q27" s="42"/>
      <c r="R27" s="42"/>
      <c r="S27" s="42"/>
      <c r="T27" s="30"/>
      <c r="U27" s="30"/>
      <c r="V27" s="30"/>
      <c r="W27" s="30"/>
    </row>
    <row r="28" spans="1:23" ht="23.25" customHeight="1" x14ac:dyDescent="0.35">
      <c r="B28" s="1" t="s">
        <v>13</v>
      </c>
      <c r="C28" s="2">
        <f>C35/C25</f>
        <v>66.666666666666671</v>
      </c>
      <c r="D28" s="64"/>
      <c r="E28" s="40"/>
      <c r="F28" s="49"/>
      <c r="G28" s="36">
        <v>43313</v>
      </c>
      <c r="H28" s="36">
        <v>43344</v>
      </c>
      <c r="I28" s="36">
        <v>43374</v>
      </c>
      <c r="J28" s="36">
        <v>43405</v>
      </c>
      <c r="K28" s="36">
        <v>43435</v>
      </c>
      <c r="L28" s="36">
        <v>43466</v>
      </c>
      <c r="M28" s="36">
        <v>43497</v>
      </c>
      <c r="N28" s="36">
        <v>43525</v>
      </c>
      <c r="O28" s="36">
        <v>43556</v>
      </c>
      <c r="P28" s="36">
        <v>43586</v>
      </c>
      <c r="Q28" s="36">
        <v>43617</v>
      </c>
      <c r="R28" s="36">
        <v>43647</v>
      </c>
      <c r="S28" s="12" t="s">
        <v>16</v>
      </c>
      <c r="T28" s="31"/>
      <c r="U28" s="33"/>
      <c r="V28" s="29"/>
      <c r="W28" s="33"/>
    </row>
    <row r="29" spans="1:23" ht="23.25" customHeight="1" x14ac:dyDescent="0.35">
      <c r="B29" s="1" t="s">
        <v>1</v>
      </c>
      <c r="C29" s="2">
        <f>C28*B27</f>
        <v>60.000000000000007</v>
      </c>
      <c r="D29" s="64"/>
      <c r="E29" s="48"/>
      <c r="F29" s="1" t="s">
        <v>0</v>
      </c>
      <c r="G29" s="8">
        <f t="shared" ref="G29:Q29" si="27">G22+G23</f>
        <v>0</v>
      </c>
      <c r="H29" s="8">
        <f t="shared" si="27"/>
        <v>0</v>
      </c>
      <c r="I29" s="8">
        <f t="shared" si="27"/>
        <v>0</v>
      </c>
      <c r="J29" s="8">
        <f t="shared" si="27"/>
        <v>1</v>
      </c>
      <c r="K29" s="8">
        <f t="shared" si="27"/>
        <v>0</v>
      </c>
      <c r="L29" s="8">
        <f t="shared" si="27"/>
        <v>0</v>
      </c>
      <c r="M29" s="8">
        <f t="shared" si="27"/>
        <v>0</v>
      </c>
      <c r="N29" s="8">
        <f t="shared" si="27"/>
        <v>0</v>
      </c>
      <c r="O29" s="8">
        <f t="shared" si="27"/>
        <v>0</v>
      </c>
      <c r="P29" s="8">
        <f t="shared" si="27"/>
        <v>0</v>
      </c>
      <c r="Q29" s="8">
        <f t="shared" si="27"/>
        <v>0</v>
      </c>
      <c r="R29" s="8">
        <f>R22+R23</f>
        <v>0</v>
      </c>
      <c r="S29" s="8">
        <f>SUM(G29:Q29)</f>
        <v>1</v>
      </c>
      <c r="T29" s="47"/>
      <c r="U29" s="12" t="s">
        <v>56</v>
      </c>
      <c r="V29" s="47"/>
      <c r="W29" s="12" t="s">
        <v>16</v>
      </c>
    </row>
    <row r="30" spans="1:23" ht="23.25" customHeight="1" x14ac:dyDescent="0.35">
      <c r="B30" s="1" t="s">
        <v>14</v>
      </c>
      <c r="C30" s="2">
        <v>1000</v>
      </c>
      <c r="D30" s="64"/>
      <c r="E30" s="48"/>
      <c r="F30" s="1" t="s">
        <v>31</v>
      </c>
      <c r="G30" s="2">
        <f>G37+G38+G39+G40</f>
        <v>0</v>
      </c>
      <c r="H30" s="2">
        <f t="shared" ref="H30:Q30" si="28">H37+H38+H39+H40</f>
        <v>0</v>
      </c>
      <c r="I30" s="2">
        <f t="shared" si="28"/>
        <v>0</v>
      </c>
      <c r="J30" s="2">
        <f t="shared" si="28"/>
        <v>60.000000000000007</v>
      </c>
      <c r="K30" s="2">
        <f t="shared" si="28"/>
        <v>60.000000000000007</v>
      </c>
      <c r="L30" s="2">
        <f t="shared" si="28"/>
        <v>60.000000000000007</v>
      </c>
      <c r="M30" s="2">
        <f t="shared" si="28"/>
        <v>60.000000000000007</v>
      </c>
      <c r="N30" s="2">
        <f t="shared" si="28"/>
        <v>60.000000000000007</v>
      </c>
      <c r="O30" s="2">
        <f t="shared" si="28"/>
        <v>60.000000000000007</v>
      </c>
      <c r="P30" s="2">
        <f t="shared" si="28"/>
        <v>60.000000000000007</v>
      </c>
      <c r="Q30" s="2">
        <f t="shared" si="28"/>
        <v>60.000000000000007</v>
      </c>
      <c r="R30" s="2">
        <f>R37+R38+R39+R40</f>
        <v>60.000000000000007</v>
      </c>
      <c r="S30" s="2">
        <f>S37+S38+S39+S40</f>
        <v>540.00000000000011</v>
      </c>
      <c r="T30" s="50"/>
      <c r="U30" s="2">
        <f>U37+U38+U39+U40</f>
        <v>359.99999999999989</v>
      </c>
      <c r="V30" s="47"/>
      <c r="W30" s="2">
        <f>W37+W38+W39+W40</f>
        <v>900</v>
      </c>
    </row>
    <row r="31" spans="1:23" ht="23.25" customHeight="1" x14ac:dyDescent="0.35">
      <c r="B31" s="1" t="s">
        <v>15</v>
      </c>
      <c r="C31" s="2">
        <v>1000</v>
      </c>
      <c r="D31" s="64"/>
      <c r="E31" s="48"/>
      <c r="F31" s="1" t="s">
        <v>20</v>
      </c>
      <c r="G31" s="8">
        <f t="shared" ref="G31:Q31" si="29">G25</f>
        <v>0</v>
      </c>
      <c r="H31" s="8">
        <f t="shared" si="29"/>
        <v>0</v>
      </c>
      <c r="I31" s="8">
        <f t="shared" si="29"/>
        <v>0</v>
      </c>
      <c r="J31" s="8">
        <f t="shared" si="29"/>
        <v>0</v>
      </c>
      <c r="K31" s="8">
        <f t="shared" si="29"/>
        <v>0</v>
      </c>
      <c r="L31" s="8">
        <f t="shared" si="29"/>
        <v>0</v>
      </c>
      <c r="M31" s="8">
        <f t="shared" si="29"/>
        <v>0</v>
      </c>
      <c r="N31" s="8">
        <f t="shared" si="29"/>
        <v>0</v>
      </c>
      <c r="O31" s="8">
        <f t="shared" si="29"/>
        <v>0</v>
      </c>
      <c r="P31" s="8">
        <f t="shared" si="29"/>
        <v>0</v>
      </c>
      <c r="Q31" s="8">
        <f t="shared" si="29"/>
        <v>0</v>
      </c>
      <c r="R31" s="8">
        <f t="shared" ref="R31" si="30">R25</f>
        <v>0</v>
      </c>
      <c r="S31" s="8">
        <f>SUM(G31:Q31)</f>
        <v>0</v>
      </c>
      <c r="T31" s="31"/>
      <c r="U31" s="45"/>
      <c r="V31" s="29"/>
      <c r="W31" s="45"/>
    </row>
    <row r="32" spans="1:23" ht="23.25" customHeight="1" x14ac:dyDescent="0.35">
      <c r="B32" s="3" t="s">
        <v>19</v>
      </c>
      <c r="C32" s="2">
        <f>IF(C22="F",C23*0.2,0)</f>
        <v>0</v>
      </c>
      <c r="D32" s="66"/>
      <c r="E32" s="48"/>
      <c r="F32" s="1" t="s">
        <v>32</v>
      </c>
      <c r="G32" s="2">
        <f>G41+G42</f>
        <v>0</v>
      </c>
      <c r="H32" s="2">
        <f t="shared" ref="H32:Q32" si="31">H41+H42</f>
        <v>0</v>
      </c>
      <c r="I32" s="2">
        <f t="shared" si="31"/>
        <v>0</v>
      </c>
      <c r="J32" s="2">
        <f t="shared" si="31"/>
        <v>0</v>
      </c>
      <c r="K32" s="2">
        <f t="shared" si="31"/>
        <v>0</v>
      </c>
      <c r="L32" s="2">
        <f t="shared" si="31"/>
        <v>0</v>
      </c>
      <c r="M32" s="2">
        <f t="shared" si="31"/>
        <v>0</v>
      </c>
      <c r="N32" s="2">
        <f t="shared" si="31"/>
        <v>0</v>
      </c>
      <c r="O32" s="2">
        <f t="shared" si="31"/>
        <v>0</v>
      </c>
      <c r="P32" s="2">
        <f t="shared" si="31"/>
        <v>0</v>
      </c>
      <c r="Q32" s="2">
        <f t="shared" si="31"/>
        <v>0</v>
      </c>
      <c r="R32" s="2">
        <f t="shared" ref="R32" si="32">R41+R42</f>
        <v>0</v>
      </c>
      <c r="S32" s="2">
        <f>S41+S42</f>
        <v>0</v>
      </c>
      <c r="T32" s="50"/>
      <c r="U32" s="2">
        <f>U39+U40+U41+U42</f>
        <v>359.99999999999989</v>
      </c>
      <c r="V32" s="47"/>
      <c r="W32" s="2">
        <f>W39+W40+W41+W42</f>
        <v>900</v>
      </c>
    </row>
    <row r="33" spans="2:23" ht="23.25" customHeight="1" x14ac:dyDescent="0.35">
      <c r="B33" s="3" t="s">
        <v>24</v>
      </c>
      <c r="C33" s="2">
        <f>(C32/C25)*0.8</f>
        <v>0</v>
      </c>
      <c r="D33" s="65"/>
      <c r="E33" s="48"/>
      <c r="F33" s="1" t="s">
        <v>21</v>
      </c>
      <c r="G33" s="8">
        <f t="shared" ref="G33:Q33" si="33">G29+G31</f>
        <v>0</v>
      </c>
      <c r="H33" s="8">
        <f t="shared" si="33"/>
        <v>0</v>
      </c>
      <c r="I33" s="8">
        <f t="shared" si="33"/>
        <v>0</v>
      </c>
      <c r="J33" s="8">
        <f t="shared" si="33"/>
        <v>1</v>
      </c>
      <c r="K33" s="8">
        <f t="shared" si="33"/>
        <v>0</v>
      </c>
      <c r="L33" s="8">
        <f t="shared" si="33"/>
        <v>0</v>
      </c>
      <c r="M33" s="8">
        <f t="shared" si="33"/>
        <v>0</v>
      </c>
      <c r="N33" s="8">
        <f t="shared" si="33"/>
        <v>0</v>
      </c>
      <c r="O33" s="8">
        <f t="shared" si="33"/>
        <v>0</v>
      </c>
      <c r="P33" s="8">
        <f t="shared" si="33"/>
        <v>0</v>
      </c>
      <c r="Q33" s="8">
        <f t="shared" si="33"/>
        <v>0</v>
      </c>
      <c r="R33" s="8">
        <f t="shared" ref="R33" si="34">R29+R31</f>
        <v>0</v>
      </c>
      <c r="S33" s="8">
        <f>SUM(G33:Q33)</f>
        <v>1</v>
      </c>
      <c r="T33" s="31"/>
      <c r="U33" s="45"/>
      <c r="V33" s="29"/>
      <c r="W33" s="45"/>
    </row>
    <row r="34" spans="2:23" ht="23.25" customHeight="1" x14ac:dyDescent="0.35">
      <c r="B34" s="3" t="s">
        <v>23</v>
      </c>
      <c r="C34" s="2">
        <f>C32*0.2</f>
        <v>0</v>
      </c>
      <c r="D34" s="62"/>
      <c r="E34" s="48"/>
      <c r="F34" s="1" t="s">
        <v>33</v>
      </c>
      <c r="G34" s="2">
        <f>G32+G30</f>
        <v>0</v>
      </c>
      <c r="H34" s="2">
        <f t="shared" ref="H34:Q34" si="35">H32+H30</f>
        <v>0</v>
      </c>
      <c r="I34" s="2">
        <f t="shared" si="35"/>
        <v>0</v>
      </c>
      <c r="J34" s="2">
        <f t="shared" si="35"/>
        <v>60.000000000000007</v>
      </c>
      <c r="K34" s="2">
        <f t="shared" si="35"/>
        <v>60.000000000000007</v>
      </c>
      <c r="L34" s="2">
        <f t="shared" si="35"/>
        <v>60.000000000000007</v>
      </c>
      <c r="M34" s="2">
        <f t="shared" si="35"/>
        <v>60.000000000000007</v>
      </c>
      <c r="N34" s="2">
        <f t="shared" si="35"/>
        <v>60.000000000000007</v>
      </c>
      <c r="O34" s="2">
        <f t="shared" si="35"/>
        <v>60.000000000000007</v>
      </c>
      <c r="P34" s="2">
        <f t="shared" si="35"/>
        <v>60.000000000000007</v>
      </c>
      <c r="Q34" s="2">
        <f t="shared" si="35"/>
        <v>60.000000000000007</v>
      </c>
      <c r="R34" s="2">
        <f t="shared" ref="R34" si="36">R32+R30</f>
        <v>60.000000000000007</v>
      </c>
      <c r="S34" s="2">
        <f>S32+S30</f>
        <v>540.00000000000011</v>
      </c>
      <c r="T34" s="47"/>
      <c r="U34" s="2">
        <f>U41+U42+U43+U44</f>
        <v>1000</v>
      </c>
      <c r="V34" s="47"/>
      <c r="W34" s="2">
        <f>W41+W42+W43+W44</f>
        <v>2000</v>
      </c>
    </row>
    <row r="35" spans="2:23" ht="23.25" customHeight="1" x14ac:dyDescent="0.35">
      <c r="B35" s="1" t="s">
        <v>2</v>
      </c>
      <c r="C35" s="4">
        <f>C24*0.8</f>
        <v>800</v>
      </c>
      <c r="D35" s="64"/>
      <c r="E35" s="31"/>
      <c r="F35" s="29"/>
      <c r="G35" s="51"/>
      <c r="H35" s="33"/>
      <c r="I35" s="33"/>
      <c r="J35" s="33"/>
      <c r="K35" s="33"/>
      <c r="L35" s="33"/>
      <c r="M35" s="33"/>
      <c r="N35" s="33"/>
      <c r="O35" s="33"/>
      <c r="P35" s="33"/>
      <c r="Q35" s="33"/>
      <c r="R35" s="33"/>
      <c r="S35" s="33"/>
      <c r="T35" s="29"/>
      <c r="U35" s="33"/>
      <c r="V35" s="29"/>
      <c r="W35" s="33"/>
    </row>
    <row r="36" spans="2:23" ht="23.25" customHeight="1" x14ac:dyDescent="0.35">
      <c r="B36" s="1" t="s">
        <v>3</v>
      </c>
      <c r="C36" s="4">
        <f>C24*0.2</f>
        <v>200</v>
      </c>
      <c r="D36" s="64"/>
      <c r="E36" s="31"/>
      <c r="F36" s="35"/>
      <c r="G36" s="36">
        <v>43313</v>
      </c>
      <c r="H36" s="36">
        <v>43344</v>
      </c>
      <c r="I36" s="36">
        <v>43374</v>
      </c>
      <c r="J36" s="36">
        <v>43405</v>
      </c>
      <c r="K36" s="36">
        <v>43435</v>
      </c>
      <c r="L36" s="36">
        <v>43466</v>
      </c>
      <c r="M36" s="36">
        <v>43497</v>
      </c>
      <c r="N36" s="36">
        <v>43525</v>
      </c>
      <c r="O36" s="36">
        <v>43556</v>
      </c>
      <c r="P36" s="36">
        <v>43586</v>
      </c>
      <c r="Q36" s="36">
        <v>43617</v>
      </c>
      <c r="R36" s="36">
        <v>43647</v>
      </c>
      <c r="S36" s="12" t="s">
        <v>16</v>
      </c>
      <c r="T36" s="47"/>
      <c r="U36" s="12" t="s">
        <v>56</v>
      </c>
      <c r="V36" s="47"/>
      <c r="W36" s="12" t="s">
        <v>16</v>
      </c>
    </row>
    <row r="37" spans="2:23" ht="23.25" customHeight="1" x14ac:dyDescent="0.35">
      <c r="B37" s="1" t="s">
        <v>38</v>
      </c>
      <c r="C37" s="4">
        <f>C35*B27</f>
        <v>720</v>
      </c>
      <c r="D37" s="64"/>
      <c r="E37" s="48"/>
      <c r="F37" s="3" t="s">
        <v>4</v>
      </c>
      <c r="G37" s="4">
        <f>G52+G65+G78+G91+G104+G117+G130+G143+G156+G169+G182</f>
        <v>0</v>
      </c>
      <c r="H37" s="4">
        <f t="shared" ref="H37:Q37" si="37">H52+H65+H78+H91+H104+H117+H130+H143+H156+H169+H182</f>
        <v>0</v>
      </c>
      <c r="I37" s="4">
        <f t="shared" si="37"/>
        <v>0</v>
      </c>
      <c r="J37" s="4">
        <f t="shared" si="37"/>
        <v>0</v>
      </c>
      <c r="K37" s="4">
        <f t="shared" si="37"/>
        <v>0</v>
      </c>
      <c r="L37" s="4">
        <f t="shared" si="37"/>
        <v>0</v>
      </c>
      <c r="M37" s="4">
        <f t="shared" si="37"/>
        <v>0</v>
      </c>
      <c r="N37" s="4">
        <f t="shared" si="37"/>
        <v>0</v>
      </c>
      <c r="O37" s="4">
        <f t="shared" si="37"/>
        <v>0</v>
      </c>
      <c r="P37" s="4">
        <f t="shared" si="37"/>
        <v>0</v>
      </c>
      <c r="Q37" s="4">
        <f t="shared" si="37"/>
        <v>0</v>
      </c>
      <c r="R37" s="4">
        <f t="shared" ref="R37:S46" si="38">R52+R65+R78+R91+R104+R117+R130+R143+R156+R169+R182+R195</f>
        <v>0</v>
      </c>
      <c r="S37" s="4">
        <f t="shared" si="38"/>
        <v>0</v>
      </c>
      <c r="T37" s="52"/>
      <c r="U37" s="4">
        <f t="shared" ref="U37:U46" si="39">U52+U65+U78+U91+U104+U117+U130+U143+U156+U169+U182+U195</f>
        <v>0</v>
      </c>
      <c r="V37" s="52"/>
      <c r="W37" s="4">
        <f t="shared" ref="W37:W46" si="40">W52+W65+W78+W91+W104+W117+W130+W143+W156+W169+W182+W195</f>
        <v>0</v>
      </c>
    </row>
    <row r="38" spans="2:23" ht="23.25" customHeight="1" x14ac:dyDescent="0.35">
      <c r="B38" s="1" t="s">
        <v>39</v>
      </c>
      <c r="C38" s="4">
        <f>C36*B27</f>
        <v>180</v>
      </c>
      <c r="D38" s="64"/>
      <c r="E38" s="48"/>
      <c r="F38" s="3" t="s">
        <v>5</v>
      </c>
      <c r="G38" s="4">
        <f t="shared" ref="G38:Q38" si="41">G53+G66+G79+G92+G105+G118+G131+G144+G157+G170+G183</f>
        <v>0</v>
      </c>
      <c r="H38" s="4">
        <f t="shared" si="41"/>
        <v>0</v>
      </c>
      <c r="I38" s="4">
        <f t="shared" si="41"/>
        <v>0</v>
      </c>
      <c r="J38" s="4">
        <f t="shared" si="41"/>
        <v>0</v>
      </c>
      <c r="K38" s="4">
        <f t="shared" si="41"/>
        <v>0</v>
      </c>
      <c r="L38" s="4">
        <f t="shared" si="41"/>
        <v>0</v>
      </c>
      <c r="M38" s="4">
        <f t="shared" si="41"/>
        <v>0</v>
      </c>
      <c r="N38" s="4">
        <f t="shared" si="41"/>
        <v>0</v>
      </c>
      <c r="O38" s="4">
        <f t="shared" si="41"/>
        <v>0</v>
      </c>
      <c r="P38" s="4">
        <f t="shared" si="41"/>
        <v>0</v>
      </c>
      <c r="Q38" s="4">
        <f t="shared" si="41"/>
        <v>0</v>
      </c>
      <c r="R38" s="4">
        <f t="shared" si="38"/>
        <v>0</v>
      </c>
      <c r="S38" s="4">
        <f t="shared" si="38"/>
        <v>0</v>
      </c>
      <c r="T38" s="52"/>
      <c r="U38" s="4">
        <f t="shared" si="39"/>
        <v>0</v>
      </c>
      <c r="V38" s="52"/>
      <c r="W38" s="4">
        <f t="shared" si="40"/>
        <v>0</v>
      </c>
    </row>
    <row r="39" spans="2:23" ht="23.25" customHeight="1" x14ac:dyDescent="0.35">
      <c r="D39" s="65"/>
      <c r="E39" s="48"/>
      <c r="F39" s="3" t="s">
        <v>6</v>
      </c>
      <c r="G39" s="4">
        <f t="shared" ref="G39:Q39" si="42">G54+G67+G80+G93+G106+G119+G132+G145+G158+G171+G184</f>
        <v>0</v>
      </c>
      <c r="H39" s="4">
        <f t="shared" si="42"/>
        <v>0</v>
      </c>
      <c r="I39" s="4">
        <f t="shared" si="42"/>
        <v>0</v>
      </c>
      <c r="J39" s="4">
        <f t="shared" si="42"/>
        <v>60.000000000000007</v>
      </c>
      <c r="K39" s="4">
        <f t="shared" si="42"/>
        <v>60.000000000000007</v>
      </c>
      <c r="L39" s="4">
        <f t="shared" si="42"/>
        <v>60.000000000000007</v>
      </c>
      <c r="M39" s="4">
        <f t="shared" si="42"/>
        <v>60.000000000000007</v>
      </c>
      <c r="N39" s="4">
        <f t="shared" si="42"/>
        <v>60.000000000000007</v>
      </c>
      <c r="O39" s="4">
        <f t="shared" si="42"/>
        <v>60.000000000000007</v>
      </c>
      <c r="P39" s="4">
        <f t="shared" si="42"/>
        <v>60.000000000000007</v>
      </c>
      <c r="Q39" s="4">
        <f t="shared" si="42"/>
        <v>60.000000000000007</v>
      </c>
      <c r="R39" s="4">
        <f t="shared" si="38"/>
        <v>60.000000000000007</v>
      </c>
      <c r="S39" s="4">
        <f t="shared" si="38"/>
        <v>540.00000000000011</v>
      </c>
      <c r="T39" s="52"/>
      <c r="U39" s="4">
        <f t="shared" si="39"/>
        <v>179.99999999999989</v>
      </c>
      <c r="V39" s="52"/>
      <c r="W39" s="4">
        <f t="shared" si="40"/>
        <v>720</v>
      </c>
    </row>
    <row r="40" spans="2:23" ht="23.25" customHeight="1" x14ac:dyDescent="0.35">
      <c r="B40" s="5"/>
      <c r="C40" s="70"/>
      <c r="D40" s="71"/>
      <c r="E40" s="48"/>
      <c r="F40" s="3" t="s">
        <v>7</v>
      </c>
      <c r="G40" s="4">
        <f t="shared" ref="G40:Q40" si="43">G55+G68+G81+G94+G107+G120+G133+G146+G159+G172+G185</f>
        <v>0</v>
      </c>
      <c r="H40" s="4">
        <f t="shared" si="43"/>
        <v>0</v>
      </c>
      <c r="I40" s="4">
        <f t="shared" si="43"/>
        <v>0</v>
      </c>
      <c r="J40" s="4">
        <f t="shared" si="43"/>
        <v>0</v>
      </c>
      <c r="K40" s="4">
        <f t="shared" si="43"/>
        <v>0</v>
      </c>
      <c r="L40" s="4">
        <f t="shared" si="43"/>
        <v>0</v>
      </c>
      <c r="M40" s="4">
        <f t="shared" si="43"/>
        <v>0</v>
      </c>
      <c r="N40" s="4">
        <f t="shared" si="43"/>
        <v>0</v>
      </c>
      <c r="O40" s="4">
        <f t="shared" si="43"/>
        <v>0</v>
      </c>
      <c r="P40" s="4">
        <f t="shared" si="43"/>
        <v>0</v>
      </c>
      <c r="Q40" s="4">
        <f t="shared" si="43"/>
        <v>0</v>
      </c>
      <c r="R40" s="4">
        <f t="shared" si="38"/>
        <v>0</v>
      </c>
      <c r="S40" s="4">
        <f t="shared" si="38"/>
        <v>0</v>
      </c>
      <c r="T40" s="52"/>
      <c r="U40" s="4">
        <f t="shared" si="39"/>
        <v>180</v>
      </c>
      <c r="V40" s="52"/>
      <c r="W40" s="4">
        <f t="shared" si="40"/>
        <v>180</v>
      </c>
    </row>
    <row r="41" spans="2:23" ht="23.25" customHeight="1" x14ac:dyDescent="0.35">
      <c r="B41" s="5"/>
      <c r="C41" s="65"/>
      <c r="D41" s="64"/>
      <c r="E41" s="48"/>
      <c r="F41" s="3" t="s">
        <v>8</v>
      </c>
      <c r="G41" s="4">
        <f t="shared" ref="G41:Q41" si="44">G56+G69+G82+G95+G108+G121+G134+G147+G160+G173+G186</f>
        <v>0</v>
      </c>
      <c r="H41" s="4">
        <f t="shared" si="44"/>
        <v>0</v>
      </c>
      <c r="I41" s="4">
        <f t="shared" si="44"/>
        <v>0</v>
      </c>
      <c r="J41" s="4">
        <f t="shared" si="44"/>
        <v>0</v>
      </c>
      <c r="K41" s="4">
        <f t="shared" si="44"/>
        <v>0</v>
      </c>
      <c r="L41" s="4">
        <f t="shared" si="44"/>
        <v>0</v>
      </c>
      <c r="M41" s="4">
        <f t="shared" si="44"/>
        <v>0</v>
      </c>
      <c r="N41" s="4">
        <f t="shared" si="44"/>
        <v>0</v>
      </c>
      <c r="O41" s="4">
        <f t="shared" si="44"/>
        <v>0</v>
      </c>
      <c r="P41" s="4">
        <f t="shared" si="44"/>
        <v>0</v>
      </c>
      <c r="Q41" s="4">
        <f t="shared" si="44"/>
        <v>0</v>
      </c>
      <c r="R41" s="4">
        <f t="shared" si="38"/>
        <v>0</v>
      </c>
      <c r="S41" s="4">
        <f t="shared" si="38"/>
        <v>0</v>
      </c>
      <c r="T41" s="52"/>
      <c r="U41" s="4">
        <f t="shared" si="39"/>
        <v>0</v>
      </c>
      <c r="V41" s="52"/>
      <c r="W41" s="4">
        <f t="shared" si="40"/>
        <v>0</v>
      </c>
    </row>
    <row r="42" spans="2:23" ht="23.25" customHeight="1" x14ac:dyDescent="0.35">
      <c r="B42" s="63"/>
      <c r="C42" s="65"/>
      <c r="D42" s="64"/>
      <c r="E42" s="48"/>
      <c r="F42" s="3" t="s">
        <v>9</v>
      </c>
      <c r="G42" s="4">
        <f t="shared" ref="G42:Q42" si="45">G57+G70+G83+G96+G109+G122+G135+G148+G161+G174+G187</f>
        <v>0</v>
      </c>
      <c r="H42" s="4">
        <f t="shared" si="45"/>
        <v>0</v>
      </c>
      <c r="I42" s="4">
        <f t="shared" si="45"/>
        <v>0</v>
      </c>
      <c r="J42" s="4">
        <f t="shared" si="45"/>
        <v>0</v>
      </c>
      <c r="K42" s="4">
        <f t="shared" si="45"/>
        <v>0</v>
      </c>
      <c r="L42" s="4">
        <f t="shared" si="45"/>
        <v>0</v>
      </c>
      <c r="M42" s="4">
        <f t="shared" si="45"/>
        <v>0</v>
      </c>
      <c r="N42" s="4">
        <f t="shared" si="45"/>
        <v>0</v>
      </c>
      <c r="O42" s="4">
        <f t="shared" si="45"/>
        <v>0</v>
      </c>
      <c r="P42" s="4">
        <f t="shared" si="45"/>
        <v>0</v>
      </c>
      <c r="Q42" s="4">
        <f t="shared" si="45"/>
        <v>0</v>
      </c>
      <c r="R42" s="4">
        <f t="shared" si="38"/>
        <v>0</v>
      </c>
      <c r="S42" s="4">
        <f t="shared" si="38"/>
        <v>0</v>
      </c>
      <c r="T42" s="52"/>
      <c r="U42" s="4">
        <f t="shared" si="39"/>
        <v>0</v>
      </c>
      <c r="V42" s="52"/>
      <c r="W42" s="4">
        <f t="shared" si="40"/>
        <v>0</v>
      </c>
    </row>
    <row r="43" spans="2:23" ht="23.25" customHeight="1" x14ac:dyDescent="0.35">
      <c r="B43" s="63"/>
      <c r="C43" s="65"/>
      <c r="D43" s="64"/>
      <c r="E43" s="48"/>
      <c r="F43" s="3" t="s">
        <v>14</v>
      </c>
      <c r="G43" s="4">
        <f t="shared" ref="G43:Q43" si="46">G58+G71+G84+G97+G110+G123+G136+G149+G162+G175+G188</f>
        <v>0</v>
      </c>
      <c r="H43" s="4">
        <f t="shared" si="46"/>
        <v>0</v>
      </c>
      <c r="I43" s="4">
        <f t="shared" si="46"/>
        <v>0</v>
      </c>
      <c r="J43" s="4">
        <f t="shared" si="46"/>
        <v>0</v>
      </c>
      <c r="K43" s="4">
        <f t="shared" si="46"/>
        <v>0</v>
      </c>
      <c r="L43" s="4">
        <f t="shared" si="46"/>
        <v>500</v>
      </c>
      <c r="M43" s="4">
        <f t="shared" si="46"/>
        <v>0</v>
      </c>
      <c r="N43" s="4">
        <f t="shared" si="46"/>
        <v>0</v>
      </c>
      <c r="O43" s="4">
        <f t="shared" si="46"/>
        <v>0</v>
      </c>
      <c r="P43" s="4">
        <f t="shared" si="46"/>
        <v>0</v>
      </c>
      <c r="Q43" s="4">
        <f t="shared" si="46"/>
        <v>0</v>
      </c>
      <c r="R43" s="4">
        <f t="shared" si="38"/>
        <v>0</v>
      </c>
      <c r="S43" s="4">
        <f t="shared" si="38"/>
        <v>500</v>
      </c>
      <c r="T43" s="52"/>
      <c r="U43" s="4">
        <f t="shared" si="39"/>
        <v>500</v>
      </c>
      <c r="V43" s="52"/>
      <c r="W43" s="4">
        <f t="shared" si="40"/>
        <v>1000</v>
      </c>
    </row>
    <row r="44" spans="2:23" ht="23.25" customHeight="1" x14ac:dyDescent="0.35">
      <c r="B44" s="63"/>
      <c r="C44" s="65"/>
      <c r="D44" s="64"/>
      <c r="E44" s="48"/>
      <c r="F44" s="3" t="s">
        <v>15</v>
      </c>
      <c r="G44" s="4">
        <f t="shared" ref="G44:Q44" si="47">G59+G72+G85+G98+G111+G124+G137+G150+G163+G176+G189</f>
        <v>0</v>
      </c>
      <c r="H44" s="4">
        <f t="shared" si="47"/>
        <v>0</v>
      </c>
      <c r="I44" s="4">
        <f t="shared" si="47"/>
        <v>0</v>
      </c>
      <c r="J44" s="4">
        <f t="shared" si="47"/>
        <v>0</v>
      </c>
      <c r="K44" s="4">
        <f t="shared" si="47"/>
        <v>0</v>
      </c>
      <c r="L44" s="4">
        <f t="shared" si="47"/>
        <v>500</v>
      </c>
      <c r="M44" s="4">
        <f t="shared" si="47"/>
        <v>0</v>
      </c>
      <c r="N44" s="4">
        <f t="shared" si="47"/>
        <v>0</v>
      </c>
      <c r="O44" s="4">
        <f t="shared" si="47"/>
        <v>0</v>
      </c>
      <c r="P44" s="4">
        <f t="shared" si="47"/>
        <v>0</v>
      </c>
      <c r="Q44" s="4">
        <f t="shared" si="47"/>
        <v>0</v>
      </c>
      <c r="R44" s="4">
        <f t="shared" si="38"/>
        <v>0</v>
      </c>
      <c r="S44" s="4">
        <f t="shared" si="38"/>
        <v>500</v>
      </c>
      <c r="T44" s="52"/>
      <c r="U44" s="4">
        <f t="shared" si="39"/>
        <v>500</v>
      </c>
      <c r="V44" s="52"/>
      <c r="W44" s="4">
        <f t="shared" si="40"/>
        <v>1000</v>
      </c>
    </row>
    <row r="45" spans="2:23" ht="23.25" customHeight="1" x14ac:dyDescent="0.35">
      <c r="B45" s="72"/>
      <c r="C45" s="38"/>
      <c r="D45" s="38"/>
      <c r="E45" s="32"/>
      <c r="F45" s="3" t="s">
        <v>22</v>
      </c>
      <c r="G45" s="4">
        <f>G60+G73+G86+G99+G112+G125+G138+G151+G164+G177+G190</f>
        <v>0</v>
      </c>
      <c r="H45" s="4">
        <f t="shared" ref="H45:Q45" si="48">H60+H73+H86+H99+H112+H125+H138+H151+H164+H177+H190</f>
        <v>0</v>
      </c>
      <c r="I45" s="4">
        <f t="shared" si="48"/>
        <v>0</v>
      </c>
      <c r="J45" s="4">
        <f t="shared" si="48"/>
        <v>0</v>
      </c>
      <c r="K45" s="4">
        <f t="shared" si="48"/>
        <v>0</v>
      </c>
      <c r="L45" s="4">
        <f t="shared" si="48"/>
        <v>0</v>
      </c>
      <c r="M45" s="4">
        <f t="shared" si="48"/>
        <v>0</v>
      </c>
      <c r="N45" s="4">
        <f t="shared" si="48"/>
        <v>0</v>
      </c>
      <c r="O45" s="4">
        <f t="shared" si="48"/>
        <v>0</v>
      </c>
      <c r="P45" s="4">
        <f t="shared" si="48"/>
        <v>0</v>
      </c>
      <c r="Q45" s="4">
        <f t="shared" si="48"/>
        <v>0</v>
      </c>
      <c r="R45" s="4">
        <f t="shared" si="38"/>
        <v>0</v>
      </c>
      <c r="S45" s="4">
        <f t="shared" si="38"/>
        <v>0</v>
      </c>
      <c r="T45" s="52"/>
      <c r="U45" s="4">
        <f t="shared" si="39"/>
        <v>0</v>
      </c>
      <c r="V45" s="52"/>
      <c r="W45" s="4">
        <f t="shared" si="40"/>
        <v>0</v>
      </c>
    </row>
    <row r="46" spans="2:23" ht="23.25" customHeight="1" x14ac:dyDescent="0.35">
      <c r="B46" s="28"/>
      <c r="C46" s="28"/>
      <c r="D46" s="28"/>
      <c r="E46" s="32"/>
      <c r="F46" s="3" t="s">
        <v>23</v>
      </c>
      <c r="G46" s="4">
        <f t="shared" ref="G46:Q46" si="49">G61+G74+G87+G100+G113+G126+G139+G152+G165+G178+G191</f>
        <v>0</v>
      </c>
      <c r="H46" s="4">
        <f t="shared" si="49"/>
        <v>0</v>
      </c>
      <c r="I46" s="4">
        <f t="shared" si="49"/>
        <v>0</v>
      </c>
      <c r="J46" s="4">
        <f t="shared" si="49"/>
        <v>0</v>
      </c>
      <c r="K46" s="4">
        <f t="shared" si="49"/>
        <v>0</v>
      </c>
      <c r="L46" s="4">
        <f t="shared" si="49"/>
        <v>0</v>
      </c>
      <c r="M46" s="4">
        <f t="shared" si="49"/>
        <v>0</v>
      </c>
      <c r="N46" s="4">
        <f t="shared" si="49"/>
        <v>0</v>
      </c>
      <c r="O46" s="4">
        <f t="shared" si="49"/>
        <v>0</v>
      </c>
      <c r="P46" s="4">
        <f t="shared" si="49"/>
        <v>0</v>
      </c>
      <c r="Q46" s="4">
        <f t="shared" si="49"/>
        <v>0</v>
      </c>
      <c r="R46" s="4">
        <f t="shared" si="38"/>
        <v>0</v>
      </c>
      <c r="S46" s="4">
        <f t="shared" si="38"/>
        <v>0</v>
      </c>
      <c r="T46" s="52"/>
      <c r="U46" s="4">
        <f t="shared" si="39"/>
        <v>0</v>
      </c>
      <c r="V46" s="52"/>
      <c r="W46" s="4">
        <f t="shared" si="40"/>
        <v>0</v>
      </c>
    </row>
    <row r="47" spans="2:23" ht="31.5" customHeight="1" thickBot="1" x14ac:dyDescent="0.4">
      <c r="B47" s="29"/>
      <c r="C47" s="29"/>
      <c r="D47" s="29"/>
      <c r="E47" s="32"/>
      <c r="F47" s="53" t="s">
        <v>40</v>
      </c>
      <c r="G47" s="54">
        <f t="shared" ref="G47:Q47" si="50">SUM(G37:G46)</f>
        <v>0</v>
      </c>
      <c r="H47" s="54">
        <f t="shared" si="50"/>
        <v>0</v>
      </c>
      <c r="I47" s="54">
        <f t="shared" si="50"/>
        <v>0</v>
      </c>
      <c r="J47" s="54">
        <f t="shared" si="50"/>
        <v>60.000000000000007</v>
      </c>
      <c r="K47" s="54">
        <f t="shared" si="50"/>
        <v>60.000000000000007</v>
      </c>
      <c r="L47" s="54">
        <f t="shared" si="50"/>
        <v>1060</v>
      </c>
      <c r="M47" s="54">
        <f t="shared" si="50"/>
        <v>60.000000000000007</v>
      </c>
      <c r="N47" s="54">
        <f t="shared" si="50"/>
        <v>60.000000000000007</v>
      </c>
      <c r="O47" s="54">
        <f t="shared" si="50"/>
        <v>60.000000000000007</v>
      </c>
      <c r="P47" s="54">
        <f t="shared" si="50"/>
        <v>60.000000000000007</v>
      </c>
      <c r="Q47" s="54">
        <f t="shared" si="50"/>
        <v>60.000000000000007</v>
      </c>
      <c r="R47" s="54">
        <f>SUM(R37:R46)</f>
        <v>60.000000000000007</v>
      </c>
      <c r="S47" s="54">
        <f>SUM(S37:S46)</f>
        <v>1540</v>
      </c>
      <c r="T47" s="52"/>
      <c r="U47" s="54">
        <f>SUM(U37:U46)</f>
        <v>1360</v>
      </c>
      <c r="V47" s="52"/>
      <c r="W47" s="54">
        <f>SUM(W37:W46)</f>
        <v>2900</v>
      </c>
    </row>
    <row r="48" spans="2:23" ht="23.25" customHeight="1" thickTop="1" x14ac:dyDescent="0.35">
      <c r="B48" s="7"/>
      <c r="C48" s="7"/>
      <c r="D48" s="7"/>
      <c r="E48" s="61"/>
      <c r="F48" s="67"/>
      <c r="G48" s="68"/>
      <c r="H48" s="68"/>
      <c r="I48" s="68"/>
      <c r="J48" s="68"/>
      <c r="K48" s="68"/>
      <c r="L48" s="68"/>
      <c r="M48" s="68"/>
      <c r="N48" s="68"/>
      <c r="O48" s="68"/>
      <c r="P48" s="68"/>
      <c r="Q48" s="68"/>
      <c r="R48" s="68"/>
      <c r="S48" s="68"/>
      <c r="T48" s="69"/>
      <c r="U48" s="68"/>
      <c r="V48" s="69"/>
      <c r="W48" s="68"/>
    </row>
    <row r="50" spans="2:24" x14ac:dyDescent="0.35">
      <c r="F50" s="6" t="s">
        <v>18</v>
      </c>
      <c r="G50" s="6">
        <v>1</v>
      </c>
      <c r="H50" s="6">
        <v>2</v>
      </c>
      <c r="I50" s="6">
        <v>3</v>
      </c>
      <c r="J50" s="6">
        <v>4</v>
      </c>
      <c r="K50" s="6">
        <v>5</v>
      </c>
      <c r="L50" s="6">
        <v>6</v>
      </c>
      <c r="M50" s="6">
        <v>7</v>
      </c>
      <c r="N50" s="6">
        <v>8</v>
      </c>
      <c r="O50" s="6">
        <v>9</v>
      </c>
      <c r="P50" s="6">
        <v>10</v>
      </c>
      <c r="Q50" s="6">
        <v>11</v>
      </c>
      <c r="R50" s="6">
        <v>12</v>
      </c>
    </row>
    <row r="51" spans="2:24" ht="43" customHeight="1" x14ac:dyDescent="0.35">
      <c r="B51" s="8" t="s">
        <v>17</v>
      </c>
      <c r="C51" s="8" t="s">
        <v>10</v>
      </c>
      <c r="D51" s="8" t="s">
        <v>11</v>
      </c>
      <c r="E51" s="8" t="s">
        <v>12</v>
      </c>
      <c r="F51" s="17"/>
      <c r="G51" s="60">
        <v>43313</v>
      </c>
      <c r="H51" s="60">
        <v>43344</v>
      </c>
      <c r="I51" s="60">
        <v>43374</v>
      </c>
      <c r="J51" s="60">
        <v>43405</v>
      </c>
      <c r="K51" s="60">
        <v>43435</v>
      </c>
      <c r="L51" s="60">
        <v>43466</v>
      </c>
      <c r="M51" s="60">
        <v>43497</v>
      </c>
      <c r="N51" s="60">
        <v>43525</v>
      </c>
      <c r="O51" s="60">
        <v>43556</v>
      </c>
      <c r="P51" s="60">
        <v>43586</v>
      </c>
      <c r="Q51" s="60">
        <v>43617</v>
      </c>
      <c r="R51" s="60">
        <v>43647</v>
      </c>
      <c r="S51" s="59" t="s">
        <v>16</v>
      </c>
      <c r="U51" s="8" t="s">
        <v>56</v>
      </c>
      <c r="W51" s="8" t="s">
        <v>16</v>
      </c>
    </row>
    <row r="52" spans="2:24" x14ac:dyDescent="0.35">
      <c r="B52" s="100">
        <v>43313</v>
      </c>
      <c r="C52" s="101">
        <f>G22</f>
        <v>0</v>
      </c>
      <c r="D52" s="102">
        <f>G23</f>
        <v>0</v>
      </c>
      <c r="E52" s="101">
        <f>G25</f>
        <v>0</v>
      </c>
      <c r="F52" s="3" t="s">
        <v>4</v>
      </c>
      <c r="G52" s="2">
        <f t="shared" ref="G52:R52" si="51">IF($C$25&gt;=G50,$C$28,0)*$C$52</f>
        <v>0</v>
      </c>
      <c r="H52" s="2">
        <f t="shared" si="51"/>
        <v>0</v>
      </c>
      <c r="I52" s="2">
        <f t="shared" si="51"/>
        <v>0</v>
      </c>
      <c r="J52" s="2">
        <f t="shared" si="51"/>
        <v>0</v>
      </c>
      <c r="K52" s="2">
        <f t="shared" si="51"/>
        <v>0</v>
      </c>
      <c r="L52" s="2">
        <f t="shared" si="51"/>
        <v>0</v>
      </c>
      <c r="M52" s="2">
        <f t="shared" si="51"/>
        <v>0</v>
      </c>
      <c r="N52" s="2">
        <f t="shared" si="51"/>
        <v>0</v>
      </c>
      <c r="O52" s="2">
        <f t="shared" si="51"/>
        <v>0</v>
      </c>
      <c r="P52" s="2">
        <f t="shared" si="51"/>
        <v>0</v>
      </c>
      <c r="Q52" s="2">
        <f t="shared" si="51"/>
        <v>0</v>
      </c>
      <c r="R52" s="2">
        <f t="shared" si="51"/>
        <v>0</v>
      </c>
      <c r="S52" s="2">
        <f>SUM(G52:R52)</f>
        <v>0</v>
      </c>
      <c r="U52" s="2">
        <f>W52-S52</f>
        <v>0</v>
      </c>
      <c r="W52" s="2">
        <f>C52*$C$35</f>
        <v>0</v>
      </c>
    </row>
    <row r="53" spans="2:24" x14ac:dyDescent="0.35">
      <c r="B53" s="100"/>
      <c r="C53" s="101"/>
      <c r="D53" s="103"/>
      <c r="E53" s="101"/>
      <c r="F53" s="3" t="s">
        <v>5</v>
      </c>
      <c r="G53" s="2">
        <f t="shared" ref="G53:R53" si="52">IF($C$25+1=G50,$C$36,0)*$C$52</f>
        <v>0</v>
      </c>
      <c r="H53" s="2">
        <f t="shared" si="52"/>
        <v>0</v>
      </c>
      <c r="I53" s="2">
        <f t="shared" si="52"/>
        <v>0</v>
      </c>
      <c r="J53" s="2">
        <f t="shared" si="52"/>
        <v>0</v>
      </c>
      <c r="K53" s="2">
        <f t="shared" si="52"/>
        <v>0</v>
      </c>
      <c r="L53" s="2">
        <f t="shared" si="52"/>
        <v>0</v>
      </c>
      <c r="M53" s="2">
        <f t="shared" si="52"/>
        <v>0</v>
      </c>
      <c r="N53" s="2">
        <f t="shared" si="52"/>
        <v>0</v>
      </c>
      <c r="O53" s="2">
        <f t="shared" si="52"/>
        <v>0</v>
      </c>
      <c r="P53" s="2">
        <f t="shared" si="52"/>
        <v>0</v>
      </c>
      <c r="Q53" s="2">
        <f t="shared" si="52"/>
        <v>0</v>
      </c>
      <c r="R53" s="2">
        <f t="shared" si="52"/>
        <v>0</v>
      </c>
      <c r="S53" s="2">
        <f t="shared" ref="S53:S61" si="53">SUM(G53:R53)</f>
        <v>0</v>
      </c>
      <c r="T53" s="16"/>
      <c r="U53" s="2">
        <f>W53-S53</f>
        <v>0</v>
      </c>
      <c r="W53" s="2">
        <f>C52*$C$36</f>
        <v>0</v>
      </c>
    </row>
    <row r="54" spans="2:24" x14ac:dyDescent="0.35">
      <c r="B54" s="100"/>
      <c r="C54" s="101"/>
      <c r="D54" s="103"/>
      <c r="E54" s="101"/>
      <c r="F54" s="3" t="s">
        <v>6</v>
      </c>
      <c r="G54" s="2">
        <f t="shared" ref="G54:R54" si="54">IF($C$25&gt;=G50,$C$29,0)*$D$52</f>
        <v>0</v>
      </c>
      <c r="H54" s="2">
        <f t="shared" si="54"/>
        <v>0</v>
      </c>
      <c r="I54" s="2">
        <f t="shared" si="54"/>
        <v>0</v>
      </c>
      <c r="J54" s="2">
        <f t="shared" si="54"/>
        <v>0</v>
      </c>
      <c r="K54" s="2">
        <f t="shared" si="54"/>
        <v>0</v>
      </c>
      <c r="L54" s="2">
        <f t="shared" si="54"/>
        <v>0</v>
      </c>
      <c r="M54" s="2">
        <f t="shared" si="54"/>
        <v>0</v>
      </c>
      <c r="N54" s="2">
        <f t="shared" si="54"/>
        <v>0</v>
      </c>
      <c r="O54" s="2">
        <f t="shared" si="54"/>
        <v>0</v>
      </c>
      <c r="P54" s="2">
        <f t="shared" si="54"/>
        <v>0</v>
      </c>
      <c r="Q54" s="2">
        <f t="shared" si="54"/>
        <v>0</v>
      </c>
      <c r="R54" s="2">
        <f t="shared" si="54"/>
        <v>0</v>
      </c>
      <c r="S54" s="2">
        <f t="shared" si="53"/>
        <v>0</v>
      </c>
      <c r="T54" s="16"/>
      <c r="U54" s="2">
        <f>W54-S54</f>
        <v>0</v>
      </c>
      <c r="W54" s="2">
        <f>D52*$C$37</f>
        <v>0</v>
      </c>
    </row>
    <row r="55" spans="2:24" x14ac:dyDescent="0.35">
      <c r="B55" s="100"/>
      <c r="C55" s="101"/>
      <c r="D55" s="103"/>
      <c r="E55" s="101"/>
      <c r="F55" s="3" t="s">
        <v>7</v>
      </c>
      <c r="G55" s="2">
        <f t="shared" ref="G55:R55" si="55">IF($C$25+1=G50,$C$38,0)*$D$52</f>
        <v>0</v>
      </c>
      <c r="H55" s="2">
        <f t="shared" si="55"/>
        <v>0</v>
      </c>
      <c r="I55" s="2">
        <f t="shared" si="55"/>
        <v>0</v>
      </c>
      <c r="J55" s="2">
        <f t="shared" si="55"/>
        <v>0</v>
      </c>
      <c r="K55" s="2">
        <f t="shared" si="55"/>
        <v>0</v>
      </c>
      <c r="L55" s="2">
        <f t="shared" si="55"/>
        <v>0</v>
      </c>
      <c r="M55" s="2">
        <f t="shared" si="55"/>
        <v>0</v>
      </c>
      <c r="N55" s="2">
        <f t="shared" si="55"/>
        <v>0</v>
      </c>
      <c r="O55" s="2">
        <f t="shared" si="55"/>
        <v>0</v>
      </c>
      <c r="P55" s="2">
        <f t="shared" si="55"/>
        <v>0</v>
      </c>
      <c r="Q55" s="2">
        <f t="shared" si="55"/>
        <v>0</v>
      </c>
      <c r="R55" s="2">
        <f t="shared" si="55"/>
        <v>0</v>
      </c>
      <c r="S55" s="2">
        <f t="shared" si="53"/>
        <v>0</v>
      </c>
      <c r="T55" s="16"/>
      <c r="U55" s="2">
        <f t="shared" ref="U55:U61" si="56">W55-S55</f>
        <v>0</v>
      </c>
      <c r="W55" s="2">
        <f>D52*$C$38</f>
        <v>0</v>
      </c>
    </row>
    <row r="56" spans="2:24" x14ac:dyDescent="0.35">
      <c r="B56" s="100"/>
      <c r="C56" s="101"/>
      <c r="D56" s="103"/>
      <c r="E56" s="101"/>
      <c r="F56" s="3" t="s">
        <v>8</v>
      </c>
      <c r="G56" s="2">
        <f t="shared" ref="G56:R56" si="57">IF($C$25&gt;=G50,$C$29,0)*$E$52</f>
        <v>0</v>
      </c>
      <c r="H56" s="2">
        <f t="shared" si="57"/>
        <v>0</v>
      </c>
      <c r="I56" s="2">
        <f t="shared" si="57"/>
        <v>0</v>
      </c>
      <c r="J56" s="2">
        <f t="shared" si="57"/>
        <v>0</v>
      </c>
      <c r="K56" s="2">
        <f t="shared" si="57"/>
        <v>0</v>
      </c>
      <c r="L56" s="2">
        <f t="shared" si="57"/>
        <v>0</v>
      </c>
      <c r="M56" s="2">
        <f t="shared" si="57"/>
        <v>0</v>
      </c>
      <c r="N56" s="2">
        <f t="shared" si="57"/>
        <v>0</v>
      </c>
      <c r="O56" s="2">
        <f t="shared" si="57"/>
        <v>0</v>
      </c>
      <c r="P56" s="2">
        <f t="shared" si="57"/>
        <v>0</v>
      </c>
      <c r="Q56" s="2">
        <f t="shared" si="57"/>
        <v>0</v>
      </c>
      <c r="R56" s="2">
        <f t="shared" si="57"/>
        <v>0</v>
      </c>
      <c r="S56" s="2">
        <f t="shared" si="53"/>
        <v>0</v>
      </c>
      <c r="T56" s="16"/>
      <c r="U56" s="2">
        <f>W56-S56</f>
        <v>0</v>
      </c>
      <c r="W56" s="2">
        <f>E52*$C$37</f>
        <v>0</v>
      </c>
    </row>
    <row r="57" spans="2:24" x14ac:dyDescent="0.35">
      <c r="B57" s="100"/>
      <c r="C57" s="101"/>
      <c r="D57" s="103"/>
      <c r="E57" s="101"/>
      <c r="F57" s="3" t="s">
        <v>9</v>
      </c>
      <c r="G57" s="2">
        <f t="shared" ref="G57:R57" si="58">IF($C$25+1=G50,$C$38,0)*$E$52</f>
        <v>0</v>
      </c>
      <c r="H57" s="2">
        <f t="shared" si="58"/>
        <v>0</v>
      </c>
      <c r="I57" s="2">
        <f t="shared" si="58"/>
        <v>0</v>
      </c>
      <c r="J57" s="2">
        <f t="shared" si="58"/>
        <v>0</v>
      </c>
      <c r="K57" s="2">
        <f t="shared" si="58"/>
        <v>0</v>
      </c>
      <c r="L57" s="2">
        <f t="shared" si="58"/>
        <v>0</v>
      </c>
      <c r="M57" s="2">
        <f t="shared" si="58"/>
        <v>0</v>
      </c>
      <c r="N57" s="2">
        <f t="shared" si="58"/>
        <v>0</v>
      </c>
      <c r="O57" s="2">
        <f t="shared" si="58"/>
        <v>0</v>
      </c>
      <c r="P57" s="2">
        <f t="shared" si="58"/>
        <v>0</v>
      </c>
      <c r="Q57" s="2">
        <f t="shared" si="58"/>
        <v>0</v>
      </c>
      <c r="R57" s="2">
        <f t="shared" si="58"/>
        <v>0</v>
      </c>
      <c r="S57" s="2">
        <f t="shared" si="53"/>
        <v>0</v>
      </c>
      <c r="T57" s="16"/>
      <c r="U57" s="2">
        <f t="shared" si="56"/>
        <v>0</v>
      </c>
      <c r="W57" s="2">
        <f>E52*$C$38</f>
        <v>0</v>
      </c>
    </row>
    <row r="58" spans="2:24" x14ac:dyDescent="0.35">
      <c r="B58" s="100"/>
      <c r="C58" s="101"/>
      <c r="D58" s="103"/>
      <c r="E58" s="101"/>
      <c r="F58" s="3" t="s">
        <v>14</v>
      </c>
      <c r="G58" s="18"/>
      <c r="H58" s="18"/>
      <c r="I58" s="2">
        <f>(C52+D52)*$C$30/2</f>
        <v>0</v>
      </c>
      <c r="J58" s="18"/>
      <c r="K58" s="18"/>
      <c r="L58" s="18"/>
      <c r="M58" s="18"/>
      <c r="N58" s="18"/>
      <c r="O58" s="18"/>
      <c r="P58" s="18"/>
      <c r="Q58" s="18"/>
      <c r="R58" s="18"/>
      <c r="S58" s="2">
        <f t="shared" si="53"/>
        <v>0</v>
      </c>
      <c r="U58" s="2">
        <f t="shared" si="56"/>
        <v>0</v>
      </c>
      <c r="W58" s="2">
        <f>(C52+D52)*$C$30</f>
        <v>0</v>
      </c>
    </row>
    <row r="59" spans="2:24" x14ac:dyDescent="0.35">
      <c r="B59" s="100"/>
      <c r="C59" s="101"/>
      <c r="D59" s="103"/>
      <c r="E59" s="101"/>
      <c r="F59" s="3" t="s">
        <v>15</v>
      </c>
      <c r="G59" s="18"/>
      <c r="H59" s="18"/>
      <c r="I59" s="2">
        <f>(C52+D52)*$C$31/2</f>
        <v>0</v>
      </c>
      <c r="J59" s="18"/>
      <c r="K59" s="18"/>
      <c r="L59" s="18"/>
      <c r="M59" s="18"/>
      <c r="N59" s="18"/>
      <c r="O59" s="18"/>
      <c r="P59" s="18"/>
      <c r="Q59" s="18"/>
      <c r="R59" s="18"/>
      <c r="S59" s="2">
        <f t="shared" si="53"/>
        <v>0</v>
      </c>
      <c r="U59" s="2">
        <f t="shared" si="56"/>
        <v>0</v>
      </c>
      <c r="W59" s="2">
        <f>(C52+D52)*$C$31</f>
        <v>0</v>
      </c>
    </row>
    <row r="60" spans="2:24" x14ac:dyDescent="0.35">
      <c r="B60" s="100"/>
      <c r="C60" s="101"/>
      <c r="D60" s="103"/>
      <c r="E60" s="101"/>
      <c r="F60" s="3" t="s">
        <v>22</v>
      </c>
      <c r="G60" s="2">
        <f t="shared" ref="G60:R60" si="59">IF($C$25&gt;=G50,$C$33,0)*($C$52+$D$52)</f>
        <v>0</v>
      </c>
      <c r="H60" s="2">
        <f t="shared" si="59"/>
        <v>0</v>
      </c>
      <c r="I60" s="2">
        <f t="shared" si="59"/>
        <v>0</v>
      </c>
      <c r="J60" s="2">
        <f t="shared" si="59"/>
        <v>0</v>
      </c>
      <c r="K60" s="2">
        <f t="shared" si="59"/>
        <v>0</v>
      </c>
      <c r="L60" s="2">
        <f t="shared" si="59"/>
        <v>0</v>
      </c>
      <c r="M60" s="2">
        <f t="shared" si="59"/>
        <v>0</v>
      </c>
      <c r="N60" s="2">
        <f t="shared" si="59"/>
        <v>0</v>
      </c>
      <c r="O60" s="2">
        <f t="shared" si="59"/>
        <v>0</v>
      </c>
      <c r="P60" s="2">
        <f t="shared" si="59"/>
        <v>0</v>
      </c>
      <c r="Q60" s="2">
        <f t="shared" si="59"/>
        <v>0</v>
      </c>
      <c r="R60" s="2">
        <f t="shared" si="59"/>
        <v>0</v>
      </c>
      <c r="S60" s="2">
        <f t="shared" si="53"/>
        <v>0</v>
      </c>
      <c r="U60" s="19">
        <f t="shared" si="56"/>
        <v>0</v>
      </c>
      <c r="W60" s="2">
        <f>(C52+D52)*($C$32*0.8)</f>
        <v>0</v>
      </c>
    </row>
    <row r="61" spans="2:24" x14ac:dyDescent="0.35">
      <c r="B61" s="100"/>
      <c r="C61" s="101"/>
      <c r="D61" s="104"/>
      <c r="E61" s="101"/>
      <c r="F61" s="3" t="s">
        <v>23</v>
      </c>
      <c r="G61" s="2">
        <f t="shared" ref="G61:R61" si="60">IF($C$25+1=G50,$C$34,0)*($C$52+$D$52)</f>
        <v>0</v>
      </c>
      <c r="H61" s="2">
        <f t="shared" si="60"/>
        <v>0</v>
      </c>
      <c r="I61" s="2">
        <f t="shared" si="60"/>
        <v>0</v>
      </c>
      <c r="J61" s="2">
        <f t="shared" si="60"/>
        <v>0</v>
      </c>
      <c r="K61" s="2">
        <f t="shared" si="60"/>
        <v>0</v>
      </c>
      <c r="L61" s="2">
        <f t="shared" si="60"/>
        <v>0</v>
      </c>
      <c r="M61" s="2">
        <f t="shared" si="60"/>
        <v>0</v>
      </c>
      <c r="N61" s="2">
        <f t="shared" si="60"/>
        <v>0</v>
      </c>
      <c r="O61" s="2">
        <f t="shared" si="60"/>
        <v>0</v>
      </c>
      <c r="P61" s="2">
        <f t="shared" si="60"/>
        <v>0</v>
      </c>
      <c r="Q61" s="2">
        <f t="shared" si="60"/>
        <v>0</v>
      </c>
      <c r="R61" s="2">
        <f t="shared" si="60"/>
        <v>0</v>
      </c>
      <c r="S61" s="2">
        <f t="shared" si="53"/>
        <v>0</v>
      </c>
      <c r="U61" s="2">
        <f t="shared" si="56"/>
        <v>0</v>
      </c>
      <c r="V61" s="20"/>
      <c r="W61" s="2">
        <f>(C52+D52)*$C$34</f>
        <v>0</v>
      </c>
    </row>
    <row r="62" spans="2:24" x14ac:dyDescent="0.35">
      <c r="F62" s="7"/>
      <c r="G62" s="15"/>
      <c r="H62" s="7"/>
      <c r="I62" s="7"/>
      <c r="J62" s="7"/>
      <c r="K62" s="7"/>
      <c r="L62" s="7"/>
      <c r="M62" s="7"/>
      <c r="N62" s="7"/>
      <c r="O62" s="7"/>
      <c r="P62" s="7"/>
      <c r="Q62" s="7"/>
      <c r="R62" s="7"/>
      <c r="S62" s="7"/>
      <c r="T62" s="7"/>
      <c r="U62" s="7"/>
      <c r="W62" s="7"/>
      <c r="X62" s="7"/>
    </row>
    <row r="63" spans="2:24" x14ac:dyDescent="0.35">
      <c r="F63" s="6" t="s">
        <v>18</v>
      </c>
      <c r="G63" s="6">
        <v>1</v>
      </c>
      <c r="H63" s="6">
        <v>2</v>
      </c>
      <c r="I63" s="6">
        <v>3</v>
      </c>
      <c r="J63" s="6">
        <v>4</v>
      </c>
      <c r="K63" s="6">
        <v>5</v>
      </c>
      <c r="L63" s="6">
        <v>6</v>
      </c>
      <c r="M63" s="6">
        <v>7</v>
      </c>
      <c r="N63" s="6">
        <v>8</v>
      </c>
      <c r="O63" s="6">
        <v>9</v>
      </c>
      <c r="P63" s="6">
        <v>10</v>
      </c>
      <c r="Q63" s="6">
        <v>11</v>
      </c>
      <c r="R63" s="6">
        <v>12</v>
      </c>
    </row>
    <row r="64" spans="2:24" ht="37.5" x14ac:dyDescent="0.35">
      <c r="B64" s="8" t="s">
        <v>17</v>
      </c>
      <c r="C64" s="8" t="s">
        <v>10</v>
      </c>
      <c r="D64" s="8" t="s">
        <v>11</v>
      </c>
      <c r="E64" s="8" t="s">
        <v>12</v>
      </c>
      <c r="F64" s="17"/>
      <c r="G64" s="60">
        <v>43313</v>
      </c>
      <c r="H64" s="60">
        <v>43344</v>
      </c>
      <c r="I64" s="60">
        <v>43374</v>
      </c>
      <c r="J64" s="60">
        <v>43405</v>
      </c>
      <c r="K64" s="60">
        <v>43435</v>
      </c>
      <c r="L64" s="60">
        <v>43466</v>
      </c>
      <c r="M64" s="60">
        <v>43497</v>
      </c>
      <c r="N64" s="60">
        <v>43525</v>
      </c>
      <c r="O64" s="60">
        <v>43556</v>
      </c>
      <c r="P64" s="60">
        <v>43586</v>
      </c>
      <c r="Q64" s="60">
        <v>43617</v>
      </c>
      <c r="R64" s="60">
        <v>43647</v>
      </c>
      <c r="S64" s="59" t="s">
        <v>16</v>
      </c>
      <c r="U64" s="8" t="s">
        <v>56</v>
      </c>
      <c r="W64" s="8" t="s">
        <v>16</v>
      </c>
    </row>
    <row r="65" spans="2:23" x14ac:dyDescent="0.35">
      <c r="B65" s="100">
        <v>43344</v>
      </c>
      <c r="C65" s="101">
        <f>H22</f>
        <v>0</v>
      </c>
      <c r="D65" s="102">
        <f>H23</f>
        <v>0</v>
      </c>
      <c r="E65" s="101">
        <f>H25</f>
        <v>0</v>
      </c>
      <c r="F65" s="3" t="s">
        <v>4</v>
      </c>
      <c r="G65" s="21"/>
      <c r="H65" s="2">
        <f t="shared" ref="H65:R65" si="61">IF($C$25&gt;=H63-1,$C$28,0)*$C$65</f>
        <v>0</v>
      </c>
      <c r="I65" s="2">
        <f t="shared" si="61"/>
        <v>0</v>
      </c>
      <c r="J65" s="2">
        <f t="shared" si="61"/>
        <v>0</v>
      </c>
      <c r="K65" s="2">
        <f t="shared" si="61"/>
        <v>0</v>
      </c>
      <c r="L65" s="2">
        <f t="shared" si="61"/>
        <v>0</v>
      </c>
      <c r="M65" s="2">
        <f t="shared" si="61"/>
        <v>0</v>
      </c>
      <c r="N65" s="2">
        <f t="shared" si="61"/>
        <v>0</v>
      </c>
      <c r="O65" s="2">
        <f t="shared" si="61"/>
        <v>0</v>
      </c>
      <c r="P65" s="2">
        <f t="shared" si="61"/>
        <v>0</v>
      </c>
      <c r="Q65" s="2">
        <f t="shared" si="61"/>
        <v>0</v>
      </c>
      <c r="R65" s="2">
        <f t="shared" si="61"/>
        <v>0</v>
      </c>
      <c r="S65" s="2">
        <f>SUM(G65:R65)</f>
        <v>0</v>
      </c>
      <c r="U65" s="2">
        <f t="shared" ref="U65:U74" si="62">W65-S65</f>
        <v>0</v>
      </c>
      <c r="W65" s="2">
        <f>C65*$C$35</f>
        <v>0</v>
      </c>
    </row>
    <row r="66" spans="2:23" x14ac:dyDescent="0.35">
      <c r="B66" s="100"/>
      <c r="C66" s="101"/>
      <c r="D66" s="103"/>
      <c r="E66" s="101"/>
      <c r="F66" s="3" t="s">
        <v>5</v>
      </c>
      <c r="G66" s="21"/>
      <c r="H66" s="2">
        <f t="shared" ref="H66:R66" si="63">IF($C$25+2=H63,$C$36,0)*$C$65</f>
        <v>0</v>
      </c>
      <c r="I66" s="2">
        <f t="shared" si="63"/>
        <v>0</v>
      </c>
      <c r="J66" s="2">
        <f t="shared" si="63"/>
        <v>0</v>
      </c>
      <c r="K66" s="2">
        <f t="shared" si="63"/>
        <v>0</v>
      </c>
      <c r="L66" s="2">
        <f t="shared" si="63"/>
        <v>0</v>
      </c>
      <c r="M66" s="2">
        <f t="shared" si="63"/>
        <v>0</v>
      </c>
      <c r="N66" s="2">
        <f t="shared" si="63"/>
        <v>0</v>
      </c>
      <c r="O66" s="2">
        <f t="shared" si="63"/>
        <v>0</v>
      </c>
      <c r="P66" s="2">
        <f t="shared" si="63"/>
        <v>0</v>
      </c>
      <c r="Q66" s="2">
        <f t="shared" si="63"/>
        <v>0</v>
      </c>
      <c r="R66" s="2">
        <f t="shared" si="63"/>
        <v>0</v>
      </c>
      <c r="S66" s="2">
        <f t="shared" ref="S66:S74" si="64">SUM(G66:R66)</f>
        <v>0</v>
      </c>
      <c r="T66" s="16"/>
      <c r="U66" s="2">
        <f t="shared" si="62"/>
        <v>0</v>
      </c>
      <c r="W66" s="2">
        <f>C65*$C$36</f>
        <v>0</v>
      </c>
    </row>
    <row r="67" spans="2:23" x14ac:dyDescent="0.35">
      <c r="B67" s="100"/>
      <c r="C67" s="101"/>
      <c r="D67" s="103"/>
      <c r="E67" s="101"/>
      <c r="F67" s="3" t="s">
        <v>6</v>
      </c>
      <c r="G67" s="21"/>
      <c r="H67" s="2">
        <f t="shared" ref="H67:R67" si="65">IF($C$25&gt;=H63-1,$C$29,0)*$D$65</f>
        <v>0</v>
      </c>
      <c r="I67" s="2">
        <f t="shared" si="65"/>
        <v>0</v>
      </c>
      <c r="J67" s="2">
        <f t="shared" si="65"/>
        <v>0</v>
      </c>
      <c r="K67" s="2">
        <f t="shared" si="65"/>
        <v>0</v>
      </c>
      <c r="L67" s="2">
        <f t="shared" si="65"/>
        <v>0</v>
      </c>
      <c r="M67" s="2">
        <f t="shared" si="65"/>
        <v>0</v>
      </c>
      <c r="N67" s="2">
        <f t="shared" si="65"/>
        <v>0</v>
      </c>
      <c r="O67" s="2">
        <f t="shared" si="65"/>
        <v>0</v>
      </c>
      <c r="P67" s="2">
        <f t="shared" si="65"/>
        <v>0</v>
      </c>
      <c r="Q67" s="2">
        <f t="shared" si="65"/>
        <v>0</v>
      </c>
      <c r="R67" s="2">
        <f t="shared" si="65"/>
        <v>0</v>
      </c>
      <c r="S67" s="2">
        <f t="shared" si="64"/>
        <v>0</v>
      </c>
      <c r="T67" s="16"/>
      <c r="U67" s="2">
        <f t="shared" si="62"/>
        <v>0</v>
      </c>
      <c r="W67" s="2">
        <f>D65*$C$37</f>
        <v>0</v>
      </c>
    </row>
    <row r="68" spans="2:23" x14ac:dyDescent="0.35">
      <c r="B68" s="100"/>
      <c r="C68" s="101"/>
      <c r="D68" s="103"/>
      <c r="E68" s="101"/>
      <c r="F68" s="3" t="s">
        <v>7</v>
      </c>
      <c r="G68" s="21"/>
      <c r="H68" s="2">
        <f t="shared" ref="H68:R68" si="66">IF($C$25+2=H63,$C$38,0)*$D$65</f>
        <v>0</v>
      </c>
      <c r="I68" s="2">
        <f t="shared" si="66"/>
        <v>0</v>
      </c>
      <c r="J68" s="2">
        <f t="shared" si="66"/>
        <v>0</v>
      </c>
      <c r="K68" s="2">
        <f t="shared" si="66"/>
        <v>0</v>
      </c>
      <c r="L68" s="2">
        <f t="shared" si="66"/>
        <v>0</v>
      </c>
      <c r="M68" s="2">
        <f t="shared" si="66"/>
        <v>0</v>
      </c>
      <c r="N68" s="2">
        <f t="shared" si="66"/>
        <v>0</v>
      </c>
      <c r="O68" s="2">
        <f t="shared" si="66"/>
        <v>0</v>
      </c>
      <c r="P68" s="2">
        <f t="shared" si="66"/>
        <v>0</v>
      </c>
      <c r="Q68" s="2">
        <f t="shared" si="66"/>
        <v>0</v>
      </c>
      <c r="R68" s="2">
        <f t="shared" si="66"/>
        <v>0</v>
      </c>
      <c r="S68" s="2">
        <f t="shared" si="64"/>
        <v>0</v>
      </c>
      <c r="T68" s="16"/>
      <c r="U68" s="2">
        <f t="shared" si="62"/>
        <v>0</v>
      </c>
      <c r="W68" s="2">
        <f>D65*$C$38</f>
        <v>0</v>
      </c>
    </row>
    <row r="69" spans="2:23" x14ac:dyDescent="0.35">
      <c r="B69" s="100"/>
      <c r="C69" s="101"/>
      <c r="D69" s="103"/>
      <c r="E69" s="101"/>
      <c r="F69" s="3" t="s">
        <v>8</v>
      </c>
      <c r="G69" s="21"/>
      <c r="H69" s="2">
        <f t="shared" ref="H69:R69" si="67">IF($C$25&gt;=H63-1,$C$29,0)*$E$65</f>
        <v>0</v>
      </c>
      <c r="I69" s="2">
        <f t="shared" si="67"/>
        <v>0</v>
      </c>
      <c r="J69" s="2">
        <f t="shared" si="67"/>
        <v>0</v>
      </c>
      <c r="K69" s="2">
        <f t="shared" si="67"/>
        <v>0</v>
      </c>
      <c r="L69" s="2">
        <f t="shared" si="67"/>
        <v>0</v>
      </c>
      <c r="M69" s="2">
        <f t="shared" si="67"/>
        <v>0</v>
      </c>
      <c r="N69" s="2">
        <f t="shared" si="67"/>
        <v>0</v>
      </c>
      <c r="O69" s="2">
        <f t="shared" si="67"/>
        <v>0</v>
      </c>
      <c r="P69" s="2">
        <f t="shared" si="67"/>
        <v>0</v>
      </c>
      <c r="Q69" s="2">
        <f t="shared" si="67"/>
        <v>0</v>
      </c>
      <c r="R69" s="2">
        <f t="shared" si="67"/>
        <v>0</v>
      </c>
      <c r="S69" s="2">
        <f t="shared" si="64"/>
        <v>0</v>
      </c>
      <c r="T69" s="16"/>
      <c r="U69" s="2">
        <f t="shared" si="62"/>
        <v>0</v>
      </c>
      <c r="W69" s="2">
        <f>E65*$C$37</f>
        <v>0</v>
      </c>
    </row>
    <row r="70" spans="2:23" x14ac:dyDescent="0.35">
      <c r="B70" s="100"/>
      <c r="C70" s="101"/>
      <c r="D70" s="103"/>
      <c r="E70" s="101"/>
      <c r="F70" s="3" t="s">
        <v>9</v>
      </c>
      <c r="G70" s="21"/>
      <c r="H70" s="2">
        <f t="shared" ref="H70:R70" si="68">IF($C$25+2=H63,$C$38,0)*$E$65</f>
        <v>0</v>
      </c>
      <c r="I70" s="2">
        <f t="shared" si="68"/>
        <v>0</v>
      </c>
      <c r="J70" s="2">
        <f t="shared" si="68"/>
        <v>0</v>
      </c>
      <c r="K70" s="2">
        <f t="shared" si="68"/>
        <v>0</v>
      </c>
      <c r="L70" s="2">
        <f t="shared" si="68"/>
        <v>0</v>
      </c>
      <c r="M70" s="2">
        <f t="shared" si="68"/>
        <v>0</v>
      </c>
      <c r="N70" s="2">
        <f t="shared" si="68"/>
        <v>0</v>
      </c>
      <c r="O70" s="2">
        <f t="shared" si="68"/>
        <v>0</v>
      </c>
      <c r="P70" s="2">
        <f t="shared" si="68"/>
        <v>0</v>
      </c>
      <c r="Q70" s="2">
        <f t="shared" si="68"/>
        <v>0</v>
      </c>
      <c r="R70" s="2">
        <f t="shared" si="68"/>
        <v>0</v>
      </c>
      <c r="S70" s="2">
        <f t="shared" si="64"/>
        <v>0</v>
      </c>
      <c r="T70" s="16"/>
      <c r="U70" s="2">
        <f t="shared" si="62"/>
        <v>0</v>
      </c>
      <c r="W70" s="2">
        <f>E65*$C$38</f>
        <v>0</v>
      </c>
    </row>
    <row r="71" spans="2:23" x14ac:dyDescent="0.35">
      <c r="B71" s="100"/>
      <c r="C71" s="101"/>
      <c r="D71" s="103"/>
      <c r="E71" s="101"/>
      <c r="F71" s="3" t="s">
        <v>14</v>
      </c>
      <c r="G71" s="18"/>
      <c r="H71" s="18"/>
      <c r="I71" s="21"/>
      <c r="J71" s="2">
        <f>(C65+D65)*$C$30/2</f>
        <v>0</v>
      </c>
      <c r="K71" s="18"/>
      <c r="L71" s="18"/>
      <c r="M71" s="18"/>
      <c r="N71" s="18"/>
      <c r="O71" s="18"/>
      <c r="P71" s="18"/>
      <c r="Q71" s="18"/>
      <c r="R71" s="18"/>
      <c r="S71" s="2">
        <f t="shared" si="64"/>
        <v>0</v>
      </c>
      <c r="U71" s="2">
        <f t="shared" si="62"/>
        <v>0</v>
      </c>
      <c r="W71" s="2">
        <f>(C65+D65)*$C$30</f>
        <v>0</v>
      </c>
    </row>
    <row r="72" spans="2:23" x14ac:dyDescent="0.35">
      <c r="B72" s="100"/>
      <c r="C72" s="101"/>
      <c r="D72" s="103"/>
      <c r="E72" s="101"/>
      <c r="F72" s="3" t="s">
        <v>15</v>
      </c>
      <c r="G72" s="18"/>
      <c r="H72" s="18"/>
      <c r="I72" s="21"/>
      <c r="J72" s="2">
        <f>(C65+D65)*$C$31/2</f>
        <v>0</v>
      </c>
      <c r="K72" s="18"/>
      <c r="L72" s="18"/>
      <c r="M72" s="18"/>
      <c r="N72" s="18"/>
      <c r="O72" s="18"/>
      <c r="P72" s="18"/>
      <c r="Q72" s="18"/>
      <c r="R72" s="18"/>
      <c r="S72" s="2">
        <f t="shared" si="64"/>
        <v>0</v>
      </c>
      <c r="U72" s="2">
        <f t="shared" si="62"/>
        <v>0</v>
      </c>
      <c r="W72" s="2">
        <f>(C65+D65)*$C$31</f>
        <v>0</v>
      </c>
    </row>
    <row r="73" spans="2:23" x14ac:dyDescent="0.35">
      <c r="B73" s="100"/>
      <c r="C73" s="101"/>
      <c r="D73" s="103"/>
      <c r="E73" s="101"/>
      <c r="F73" s="3" t="s">
        <v>22</v>
      </c>
      <c r="G73" s="21"/>
      <c r="H73" s="2">
        <f t="shared" ref="H73:R73" si="69">IF($C$25&gt;=H63-1,$C$33,0)*($C$65+$D$65)</f>
        <v>0</v>
      </c>
      <c r="I73" s="2">
        <f t="shared" si="69"/>
        <v>0</v>
      </c>
      <c r="J73" s="2">
        <f t="shared" si="69"/>
        <v>0</v>
      </c>
      <c r="K73" s="2">
        <f t="shared" si="69"/>
        <v>0</v>
      </c>
      <c r="L73" s="2">
        <f t="shared" si="69"/>
        <v>0</v>
      </c>
      <c r="M73" s="2">
        <f t="shared" si="69"/>
        <v>0</v>
      </c>
      <c r="N73" s="2">
        <f t="shared" si="69"/>
        <v>0</v>
      </c>
      <c r="O73" s="2">
        <f t="shared" si="69"/>
        <v>0</v>
      </c>
      <c r="P73" s="2">
        <f t="shared" si="69"/>
        <v>0</v>
      </c>
      <c r="Q73" s="2">
        <f t="shared" si="69"/>
        <v>0</v>
      </c>
      <c r="R73" s="2">
        <f t="shared" si="69"/>
        <v>0</v>
      </c>
      <c r="S73" s="2">
        <f t="shared" si="64"/>
        <v>0</v>
      </c>
      <c r="U73" s="19">
        <f t="shared" si="62"/>
        <v>0</v>
      </c>
      <c r="W73" s="2">
        <f>(C65+D65)*($C$32*0.8)</f>
        <v>0</v>
      </c>
    </row>
    <row r="74" spans="2:23" x14ac:dyDescent="0.35">
      <c r="B74" s="100"/>
      <c r="C74" s="101"/>
      <c r="D74" s="104"/>
      <c r="E74" s="101"/>
      <c r="F74" s="3" t="s">
        <v>23</v>
      </c>
      <c r="G74" s="21"/>
      <c r="H74" s="2">
        <f t="shared" ref="H74:R74" si="70">IF($C$25+1=H63-1,$C$34,0)*($C$65+$D$65)</f>
        <v>0</v>
      </c>
      <c r="I74" s="2">
        <f t="shared" si="70"/>
        <v>0</v>
      </c>
      <c r="J74" s="2">
        <f t="shared" si="70"/>
        <v>0</v>
      </c>
      <c r="K74" s="2">
        <f t="shared" si="70"/>
        <v>0</v>
      </c>
      <c r="L74" s="2">
        <f t="shared" si="70"/>
        <v>0</v>
      </c>
      <c r="M74" s="2">
        <f t="shared" si="70"/>
        <v>0</v>
      </c>
      <c r="N74" s="2">
        <f t="shared" si="70"/>
        <v>0</v>
      </c>
      <c r="O74" s="2">
        <f t="shared" si="70"/>
        <v>0</v>
      </c>
      <c r="P74" s="2">
        <f t="shared" si="70"/>
        <v>0</v>
      </c>
      <c r="Q74" s="2">
        <f t="shared" si="70"/>
        <v>0</v>
      </c>
      <c r="R74" s="2">
        <f t="shared" si="70"/>
        <v>0</v>
      </c>
      <c r="S74" s="2">
        <f t="shared" si="64"/>
        <v>0</v>
      </c>
      <c r="U74" s="2">
        <f t="shared" si="62"/>
        <v>0</v>
      </c>
      <c r="V74" s="20"/>
      <c r="W74" s="2">
        <f>(C65+D65)*$C$34</f>
        <v>0</v>
      </c>
    </row>
    <row r="75" spans="2:23" x14ac:dyDescent="0.35">
      <c r="B75" s="23"/>
    </row>
    <row r="76" spans="2:23" x14ac:dyDescent="0.35">
      <c r="F76" s="6" t="s">
        <v>18</v>
      </c>
      <c r="G76" s="6">
        <v>1</v>
      </c>
      <c r="H76" s="6">
        <v>2</v>
      </c>
      <c r="I76" s="6">
        <v>3</v>
      </c>
      <c r="J76" s="6">
        <v>4</v>
      </c>
      <c r="K76" s="6">
        <v>5</v>
      </c>
      <c r="L76" s="6">
        <v>6</v>
      </c>
      <c r="M76" s="6">
        <v>7</v>
      </c>
      <c r="N76" s="6">
        <v>8</v>
      </c>
      <c r="O76" s="6">
        <v>9</v>
      </c>
      <c r="P76" s="6">
        <v>10</v>
      </c>
      <c r="Q76" s="6">
        <v>11</v>
      </c>
      <c r="R76" s="6">
        <v>12</v>
      </c>
    </row>
    <row r="77" spans="2:23" ht="37.5" x14ac:dyDescent="0.35">
      <c r="B77" s="8" t="s">
        <v>17</v>
      </c>
      <c r="C77" s="8" t="s">
        <v>10</v>
      </c>
      <c r="D77" s="8" t="s">
        <v>11</v>
      </c>
      <c r="E77" s="8" t="s">
        <v>12</v>
      </c>
      <c r="F77" s="17"/>
      <c r="G77" s="60">
        <v>43313</v>
      </c>
      <c r="H77" s="60">
        <v>43344</v>
      </c>
      <c r="I77" s="60">
        <v>43374</v>
      </c>
      <c r="J77" s="60">
        <v>43405</v>
      </c>
      <c r="K77" s="60">
        <v>43435</v>
      </c>
      <c r="L77" s="60">
        <v>43466</v>
      </c>
      <c r="M77" s="60">
        <v>43497</v>
      </c>
      <c r="N77" s="60">
        <v>43525</v>
      </c>
      <c r="O77" s="60">
        <v>43556</v>
      </c>
      <c r="P77" s="60">
        <v>43586</v>
      </c>
      <c r="Q77" s="60">
        <v>43617</v>
      </c>
      <c r="R77" s="60">
        <v>43647</v>
      </c>
      <c r="S77" s="59" t="s">
        <v>16</v>
      </c>
      <c r="U77" s="8" t="s">
        <v>56</v>
      </c>
      <c r="W77" s="8" t="s">
        <v>16</v>
      </c>
    </row>
    <row r="78" spans="2:23" x14ac:dyDescent="0.35">
      <c r="B78" s="100">
        <v>43374</v>
      </c>
      <c r="C78" s="101">
        <f>I22</f>
        <v>0</v>
      </c>
      <c r="D78" s="102">
        <f>I23</f>
        <v>0</v>
      </c>
      <c r="E78" s="101">
        <f>I25</f>
        <v>0</v>
      </c>
      <c r="F78" s="3" t="s">
        <v>4</v>
      </c>
      <c r="G78" s="21"/>
      <c r="H78" s="21"/>
      <c r="I78" s="2">
        <f t="shared" ref="I78:R78" si="71">IF($C$25&gt;=I76-2,$C$28,0)*$C$78</f>
        <v>0</v>
      </c>
      <c r="J78" s="2">
        <f t="shared" si="71"/>
        <v>0</v>
      </c>
      <c r="K78" s="2">
        <f t="shared" si="71"/>
        <v>0</v>
      </c>
      <c r="L78" s="2">
        <f t="shared" si="71"/>
        <v>0</v>
      </c>
      <c r="M78" s="2">
        <f t="shared" si="71"/>
        <v>0</v>
      </c>
      <c r="N78" s="2">
        <f t="shared" si="71"/>
        <v>0</v>
      </c>
      <c r="O78" s="2">
        <f t="shared" si="71"/>
        <v>0</v>
      </c>
      <c r="P78" s="2">
        <f t="shared" si="71"/>
        <v>0</v>
      </c>
      <c r="Q78" s="2">
        <f t="shared" si="71"/>
        <v>0</v>
      </c>
      <c r="R78" s="2">
        <f t="shared" si="71"/>
        <v>0</v>
      </c>
      <c r="S78" s="2">
        <f>SUM(G78:R78)</f>
        <v>0</v>
      </c>
      <c r="U78" s="2">
        <f t="shared" ref="U78:U87" si="72">W78-S78</f>
        <v>0</v>
      </c>
      <c r="W78" s="2">
        <f>C78*$C$35</f>
        <v>0</v>
      </c>
    </row>
    <row r="79" spans="2:23" x14ac:dyDescent="0.35">
      <c r="B79" s="100"/>
      <c r="C79" s="101"/>
      <c r="D79" s="103"/>
      <c r="E79" s="101"/>
      <c r="F79" s="3" t="s">
        <v>5</v>
      </c>
      <c r="G79" s="21"/>
      <c r="H79" s="21"/>
      <c r="I79" s="2">
        <f t="shared" ref="I79:R79" si="73">IF($C$25+3=I76,$C$36,0)*$C$78</f>
        <v>0</v>
      </c>
      <c r="J79" s="2">
        <f t="shared" si="73"/>
        <v>0</v>
      </c>
      <c r="K79" s="2">
        <f t="shared" si="73"/>
        <v>0</v>
      </c>
      <c r="L79" s="2">
        <f t="shared" si="73"/>
        <v>0</v>
      </c>
      <c r="M79" s="2">
        <f t="shared" si="73"/>
        <v>0</v>
      </c>
      <c r="N79" s="2">
        <f t="shared" si="73"/>
        <v>0</v>
      </c>
      <c r="O79" s="2">
        <f t="shared" si="73"/>
        <v>0</v>
      </c>
      <c r="P79" s="2">
        <f t="shared" si="73"/>
        <v>0</v>
      </c>
      <c r="Q79" s="2">
        <f t="shared" si="73"/>
        <v>0</v>
      </c>
      <c r="R79" s="2">
        <f t="shared" si="73"/>
        <v>0</v>
      </c>
      <c r="S79" s="2">
        <f t="shared" ref="S79:S87" si="74">SUM(G79:R79)</f>
        <v>0</v>
      </c>
      <c r="T79" s="16"/>
      <c r="U79" s="2">
        <f t="shared" si="72"/>
        <v>0</v>
      </c>
      <c r="W79" s="2">
        <f>C78*$C$36</f>
        <v>0</v>
      </c>
    </row>
    <row r="80" spans="2:23" x14ac:dyDescent="0.35">
      <c r="B80" s="100"/>
      <c r="C80" s="101"/>
      <c r="D80" s="103"/>
      <c r="E80" s="101"/>
      <c r="F80" s="3" t="s">
        <v>6</v>
      </c>
      <c r="G80" s="21"/>
      <c r="H80" s="21"/>
      <c r="I80" s="2">
        <f t="shared" ref="I80:R80" si="75">IF($C$25&gt;=I76-2,$C$29,0)*$D$78</f>
        <v>0</v>
      </c>
      <c r="J80" s="2">
        <f t="shared" si="75"/>
        <v>0</v>
      </c>
      <c r="K80" s="2">
        <f t="shared" si="75"/>
        <v>0</v>
      </c>
      <c r="L80" s="2">
        <f t="shared" si="75"/>
        <v>0</v>
      </c>
      <c r="M80" s="2">
        <f t="shared" si="75"/>
        <v>0</v>
      </c>
      <c r="N80" s="2">
        <f t="shared" si="75"/>
        <v>0</v>
      </c>
      <c r="O80" s="2">
        <f t="shared" si="75"/>
        <v>0</v>
      </c>
      <c r="P80" s="2">
        <f t="shared" si="75"/>
        <v>0</v>
      </c>
      <c r="Q80" s="2">
        <f t="shared" si="75"/>
        <v>0</v>
      </c>
      <c r="R80" s="2">
        <f t="shared" si="75"/>
        <v>0</v>
      </c>
      <c r="S80" s="2">
        <f t="shared" si="74"/>
        <v>0</v>
      </c>
      <c r="T80" s="16"/>
      <c r="U80" s="2">
        <f t="shared" si="72"/>
        <v>0</v>
      </c>
      <c r="W80" s="2">
        <f>D78*$C$37</f>
        <v>0</v>
      </c>
    </row>
    <row r="81" spans="2:23" x14ac:dyDescent="0.35">
      <c r="B81" s="100"/>
      <c r="C81" s="101"/>
      <c r="D81" s="103"/>
      <c r="E81" s="101"/>
      <c r="F81" s="3" t="s">
        <v>7</v>
      </c>
      <c r="G81" s="21"/>
      <c r="H81" s="21"/>
      <c r="I81" s="2">
        <f t="shared" ref="I81:R81" si="76">IF($C$25+3=I76,$C$38,0)*$D$78</f>
        <v>0</v>
      </c>
      <c r="J81" s="2">
        <f t="shared" si="76"/>
        <v>0</v>
      </c>
      <c r="K81" s="2">
        <f t="shared" si="76"/>
        <v>0</v>
      </c>
      <c r="L81" s="2">
        <f t="shared" si="76"/>
        <v>0</v>
      </c>
      <c r="M81" s="2">
        <f t="shared" si="76"/>
        <v>0</v>
      </c>
      <c r="N81" s="2">
        <f t="shared" si="76"/>
        <v>0</v>
      </c>
      <c r="O81" s="2">
        <f t="shared" si="76"/>
        <v>0</v>
      </c>
      <c r="P81" s="2">
        <f t="shared" si="76"/>
        <v>0</v>
      </c>
      <c r="Q81" s="2">
        <f t="shared" si="76"/>
        <v>0</v>
      </c>
      <c r="R81" s="2">
        <f t="shared" si="76"/>
        <v>0</v>
      </c>
      <c r="S81" s="2">
        <f t="shared" si="74"/>
        <v>0</v>
      </c>
      <c r="T81" s="16"/>
      <c r="U81" s="2">
        <f t="shared" si="72"/>
        <v>0</v>
      </c>
      <c r="W81" s="2">
        <f>D78*$C$38</f>
        <v>0</v>
      </c>
    </row>
    <row r="82" spans="2:23" x14ac:dyDescent="0.35">
      <c r="B82" s="100"/>
      <c r="C82" s="101"/>
      <c r="D82" s="103"/>
      <c r="E82" s="101"/>
      <c r="F82" s="3" t="s">
        <v>8</v>
      </c>
      <c r="G82" s="21"/>
      <c r="H82" s="21"/>
      <c r="I82" s="2">
        <f t="shared" ref="I82:R82" si="77">IF($C$25&gt;=I76-2,$C$29,0)*$E$78</f>
        <v>0</v>
      </c>
      <c r="J82" s="2">
        <f t="shared" si="77"/>
        <v>0</v>
      </c>
      <c r="K82" s="2">
        <f t="shared" si="77"/>
        <v>0</v>
      </c>
      <c r="L82" s="2">
        <f t="shared" si="77"/>
        <v>0</v>
      </c>
      <c r="M82" s="2">
        <f t="shared" si="77"/>
        <v>0</v>
      </c>
      <c r="N82" s="2">
        <f t="shared" si="77"/>
        <v>0</v>
      </c>
      <c r="O82" s="2">
        <f t="shared" si="77"/>
        <v>0</v>
      </c>
      <c r="P82" s="2">
        <f t="shared" si="77"/>
        <v>0</v>
      </c>
      <c r="Q82" s="2">
        <f t="shared" si="77"/>
        <v>0</v>
      </c>
      <c r="R82" s="2">
        <f t="shared" si="77"/>
        <v>0</v>
      </c>
      <c r="S82" s="2">
        <f t="shared" si="74"/>
        <v>0</v>
      </c>
      <c r="T82" s="16"/>
      <c r="U82" s="2">
        <f t="shared" si="72"/>
        <v>0</v>
      </c>
      <c r="W82" s="2">
        <f>E78*$C$37</f>
        <v>0</v>
      </c>
    </row>
    <row r="83" spans="2:23" x14ac:dyDescent="0.35">
      <c r="B83" s="100"/>
      <c r="C83" s="101"/>
      <c r="D83" s="103"/>
      <c r="E83" s="101"/>
      <c r="F83" s="3" t="s">
        <v>9</v>
      </c>
      <c r="G83" s="21"/>
      <c r="H83" s="21"/>
      <c r="I83" s="2">
        <f t="shared" ref="I83:R83" si="78">IF($C$25+3=I76,$C$38,0)*$E$78</f>
        <v>0</v>
      </c>
      <c r="J83" s="2">
        <f t="shared" si="78"/>
        <v>0</v>
      </c>
      <c r="K83" s="2">
        <f t="shared" si="78"/>
        <v>0</v>
      </c>
      <c r="L83" s="2">
        <f t="shared" si="78"/>
        <v>0</v>
      </c>
      <c r="M83" s="2">
        <f t="shared" si="78"/>
        <v>0</v>
      </c>
      <c r="N83" s="2">
        <f t="shared" si="78"/>
        <v>0</v>
      </c>
      <c r="O83" s="2">
        <f t="shared" si="78"/>
        <v>0</v>
      </c>
      <c r="P83" s="2">
        <f t="shared" si="78"/>
        <v>0</v>
      </c>
      <c r="Q83" s="2">
        <f t="shared" si="78"/>
        <v>0</v>
      </c>
      <c r="R83" s="2">
        <f t="shared" si="78"/>
        <v>0</v>
      </c>
      <c r="S83" s="2">
        <f t="shared" si="74"/>
        <v>0</v>
      </c>
      <c r="T83" s="16"/>
      <c r="U83" s="2">
        <f t="shared" si="72"/>
        <v>0</v>
      </c>
      <c r="W83" s="2">
        <f>E78*$C$38</f>
        <v>0</v>
      </c>
    </row>
    <row r="84" spans="2:23" x14ac:dyDescent="0.35">
      <c r="B84" s="100"/>
      <c r="C84" s="101"/>
      <c r="D84" s="103"/>
      <c r="E84" s="101"/>
      <c r="F84" s="3" t="s">
        <v>14</v>
      </c>
      <c r="G84" s="18"/>
      <c r="H84" s="18"/>
      <c r="I84" s="21"/>
      <c r="J84" s="22"/>
      <c r="K84" s="2">
        <f>(C78+D78)*$C$30/2</f>
        <v>0</v>
      </c>
      <c r="L84" s="18"/>
      <c r="M84" s="18"/>
      <c r="N84" s="18"/>
      <c r="O84" s="18"/>
      <c r="P84" s="18"/>
      <c r="Q84" s="18"/>
      <c r="R84" s="18"/>
      <c r="S84" s="2">
        <f t="shared" si="74"/>
        <v>0</v>
      </c>
      <c r="U84" s="2">
        <f t="shared" si="72"/>
        <v>0</v>
      </c>
      <c r="W84" s="2">
        <f>(C78+D78)*$C$30</f>
        <v>0</v>
      </c>
    </row>
    <row r="85" spans="2:23" x14ac:dyDescent="0.35">
      <c r="B85" s="100"/>
      <c r="C85" s="101"/>
      <c r="D85" s="103"/>
      <c r="E85" s="101"/>
      <c r="F85" s="3" t="s">
        <v>15</v>
      </c>
      <c r="G85" s="18"/>
      <c r="H85" s="18"/>
      <c r="I85" s="21"/>
      <c r="J85" s="22"/>
      <c r="K85" s="2">
        <f>(C78+D78)*$C$31/2</f>
        <v>0</v>
      </c>
      <c r="L85" s="18"/>
      <c r="M85" s="18"/>
      <c r="N85" s="18"/>
      <c r="O85" s="18"/>
      <c r="P85" s="18"/>
      <c r="Q85" s="18"/>
      <c r="R85" s="18"/>
      <c r="S85" s="2">
        <f t="shared" si="74"/>
        <v>0</v>
      </c>
      <c r="U85" s="2">
        <f t="shared" si="72"/>
        <v>0</v>
      </c>
      <c r="W85" s="2">
        <f>(C78+D78)*$C$31</f>
        <v>0</v>
      </c>
    </row>
    <row r="86" spans="2:23" x14ac:dyDescent="0.35">
      <c r="B86" s="100"/>
      <c r="C86" s="101"/>
      <c r="D86" s="103"/>
      <c r="E86" s="101"/>
      <c r="F86" s="3" t="s">
        <v>22</v>
      </c>
      <c r="G86" s="21"/>
      <c r="H86" s="21"/>
      <c r="I86" s="2">
        <f t="shared" ref="I86:R86" si="79">IF($C$25&gt;=I76-2,$C$33,0)*($C$78+$D$78)</f>
        <v>0</v>
      </c>
      <c r="J86" s="2">
        <f t="shared" si="79"/>
        <v>0</v>
      </c>
      <c r="K86" s="2">
        <f t="shared" si="79"/>
        <v>0</v>
      </c>
      <c r="L86" s="2">
        <f t="shared" si="79"/>
        <v>0</v>
      </c>
      <c r="M86" s="2">
        <f t="shared" si="79"/>
        <v>0</v>
      </c>
      <c r="N86" s="2">
        <f t="shared" si="79"/>
        <v>0</v>
      </c>
      <c r="O86" s="2">
        <f t="shared" si="79"/>
        <v>0</v>
      </c>
      <c r="P86" s="2">
        <f t="shared" si="79"/>
        <v>0</v>
      </c>
      <c r="Q86" s="2">
        <f t="shared" si="79"/>
        <v>0</v>
      </c>
      <c r="R86" s="2">
        <f t="shared" si="79"/>
        <v>0</v>
      </c>
      <c r="S86" s="2">
        <f t="shared" si="74"/>
        <v>0</v>
      </c>
      <c r="U86" s="19">
        <f t="shared" si="72"/>
        <v>0</v>
      </c>
      <c r="W86" s="2">
        <f>(C78+D78)*($C$32*0.8)</f>
        <v>0</v>
      </c>
    </row>
    <row r="87" spans="2:23" x14ac:dyDescent="0.35">
      <c r="B87" s="100"/>
      <c r="C87" s="101"/>
      <c r="D87" s="104"/>
      <c r="E87" s="101"/>
      <c r="F87" s="3" t="s">
        <v>23</v>
      </c>
      <c r="G87" s="21"/>
      <c r="H87" s="21"/>
      <c r="I87" s="2">
        <f t="shared" ref="I87:R87" si="80">IF($C$25+1=I76-2,$C$34,0)*($C$78+$D$78)</f>
        <v>0</v>
      </c>
      <c r="J87" s="2">
        <f t="shared" si="80"/>
        <v>0</v>
      </c>
      <c r="K87" s="2">
        <f t="shared" si="80"/>
        <v>0</v>
      </c>
      <c r="L87" s="2">
        <f t="shared" si="80"/>
        <v>0</v>
      </c>
      <c r="M87" s="2">
        <f t="shared" si="80"/>
        <v>0</v>
      </c>
      <c r="N87" s="2">
        <f t="shared" si="80"/>
        <v>0</v>
      </c>
      <c r="O87" s="2">
        <f t="shared" si="80"/>
        <v>0</v>
      </c>
      <c r="P87" s="2">
        <f t="shared" si="80"/>
        <v>0</v>
      </c>
      <c r="Q87" s="2">
        <f t="shared" si="80"/>
        <v>0</v>
      </c>
      <c r="R87" s="2">
        <f t="shared" si="80"/>
        <v>0</v>
      </c>
      <c r="S87" s="2">
        <f t="shared" si="74"/>
        <v>0</v>
      </c>
      <c r="U87" s="2">
        <f t="shared" si="72"/>
        <v>0</v>
      </c>
      <c r="V87" s="20"/>
      <c r="W87" s="2">
        <f>(C78+D78)*$C$34</f>
        <v>0</v>
      </c>
    </row>
    <row r="89" spans="2:23" x14ac:dyDescent="0.35">
      <c r="F89" s="6" t="s">
        <v>18</v>
      </c>
      <c r="G89" s="6">
        <v>1</v>
      </c>
      <c r="H89" s="6">
        <v>2</v>
      </c>
      <c r="I89" s="6">
        <v>3</v>
      </c>
      <c r="J89" s="6">
        <v>4</v>
      </c>
      <c r="K89" s="6">
        <v>5</v>
      </c>
      <c r="L89" s="6">
        <v>6</v>
      </c>
      <c r="M89" s="6">
        <v>7</v>
      </c>
      <c r="N89" s="6">
        <v>8</v>
      </c>
      <c r="O89" s="6">
        <v>9</v>
      </c>
      <c r="P89" s="6">
        <v>10</v>
      </c>
      <c r="Q89" s="6">
        <v>11</v>
      </c>
      <c r="R89" s="6">
        <v>12</v>
      </c>
    </row>
    <row r="90" spans="2:23" ht="37.5" x14ac:dyDescent="0.35">
      <c r="B90" s="8" t="s">
        <v>17</v>
      </c>
      <c r="C90" s="8" t="s">
        <v>10</v>
      </c>
      <c r="D90" s="8" t="s">
        <v>11</v>
      </c>
      <c r="E90" s="8" t="s">
        <v>12</v>
      </c>
      <c r="F90" s="17"/>
      <c r="G90" s="60">
        <v>43313</v>
      </c>
      <c r="H90" s="60">
        <v>43344</v>
      </c>
      <c r="I90" s="60">
        <v>43374</v>
      </c>
      <c r="J90" s="60">
        <v>43405</v>
      </c>
      <c r="K90" s="60">
        <v>43435</v>
      </c>
      <c r="L90" s="60">
        <v>43466</v>
      </c>
      <c r="M90" s="60">
        <v>43497</v>
      </c>
      <c r="N90" s="60">
        <v>43525</v>
      </c>
      <c r="O90" s="60">
        <v>43556</v>
      </c>
      <c r="P90" s="60">
        <v>43586</v>
      </c>
      <c r="Q90" s="60">
        <v>43617</v>
      </c>
      <c r="R90" s="60">
        <v>43647</v>
      </c>
      <c r="S90" s="59" t="s">
        <v>16</v>
      </c>
      <c r="T90" s="20"/>
      <c r="U90" s="8" t="s">
        <v>56</v>
      </c>
      <c r="W90" s="8" t="s">
        <v>16</v>
      </c>
    </row>
    <row r="91" spans="2:23" x14ac:dyDescent="0.35">
      <c r="B91" s="100">
        <v>43405</v>
      </c>
      <c r="C91" s="101">
        <f>J22</f>
        <v>0</v>
      </c>
      <c r="D91" s="102">
        <f>J23</f>
        <v>1</v>
      </c>
      <c r="E91" s="101">
        <f>J25</f>
        <v>0</v>
      </c>
      <c r="F91" s="3" t="s">
        <v>4</v>
      </c>
      <c r="G91" s="21"/>
      <c r="H91" s="21"/>
      <c r="I91" s="21"/>
      <c r="J91" s="2">
        <f t="shared" ref="J91:R91" si="81">IF($C$25&gt;=J89-3,$C$28,0)*$C$91</f>
        <v>0</v>
      </c>
      <c r="K91" s="2">
        <f t="shared" si="81"/>
        <v>0</v>
      </c>
      <c r="L91" s="2">
        <f t="shared" si="81"/>
        <v>0</v>
      </c>
      <c r="M91" s="2">
        <f t="shared" si="81"/>
        <v>0</v>
      </c>
      <c r="N91" s="2">
        <f t="shared" si="81"/>
        <v>0</v>
      </c>
      <c r="O91" s="2">
        <f t="shared" si="81"/>
        <v>0</v>
      </c>
      <c r="P91" s="2">
        <f t="shared" si="81"/>
        <v>0</v>
      </c>
      <c r="Q91" s="2">
        <f t="shared" si="81"/>
        <v>0</v>
      </c>
      <c r="R91" s="2">
        <f t="shared" si="81"/>
        <v>0</v>
      </c>
      <c r="S91" s="2">
        <f>SUM(G91:R91)</f>
        <v>0</v>
      </c>
      <c r="T91" s="20"/>
      <c r="U91" s="2">
        <f t="shared" ref="U91:U100" si="82">W91-S91</f>
        <v>0</v>
      </c>
      <c r="W91" s="2">
        <f>C91*$C$35</f>
        <v>0</v>
      </c>
    </row>
    <row r="92" spans="2:23" x14ac:dyDescent="0.35">
      <c r="B92" s="100"/>
      <c r="C92" s="101"/>
      <c r="D92" s="103"/>
      <c r="E92" s="101"/>
      <c r="F92" s="3" t="s">
        <v>5</v>
      </c>
      <c r="G92" s="21"/>
      <c r="H92" s="21"/>
      <c r="I92" s="21"/>
      <c r="J92" s="2">
        <f t="shared" ref="J92:R92" si="83">IF($C$25+4=J89,$C$36,0)*$C$91</f>
        <v>0</v>
      </c>
      <c r="K92" s="2">
        <f t="shared" si="83"/>
        <v>0</v>
      </c>
      <c r="L92" s="2">
        <f t="shared" si="83"/>
        <v>0</v>
      </c>
      <c r="M92" s="2">
        <f t="shared" si="83"/>
        <v>0</v>
      </c>
      <c r="N92" s="2">
        <f t="shared" si="83"/>
        <v>0</v>
      </c>
      <c r="O92" s="2">
        <f t="shared" si="83"/>
        <v>0</v>
      </c>
      <c r="P92" s="2">
        <f t="shared" si="83"/>
        <v>0</v>
      </c>
      <c r="Q92" s="2">
        <f t="shared" si="83"/>
        <v>0</v>
      </c>
      <c r="R92" s="2">
        <f t="shared" si="83"/>
        <v>0</v>
      </c>
      <c r="S92" s="2">
        <f t="shared" ref="S92:S100" si="84">SUM(G92:R92)</f>
        <v>0</v>
      </c>
      <c r="T92" s="24"/>
      <c r="U92" s="2">
        <f t="shared" si="82"/>
        <v>0</v>
      </c>
      <c r="W92" s="2">
        <f>C91*$C$36</f>
        <v>0</v>
      </c>
    </row>
    <row r="93" spans="2:23" x14ac:dyDescent="0.35">
      <c r="B93" s="100"/>
      <c r="C93" s="101"/>
      <c r="D93" s="103"/>
      <c r="E93" s="101"/>
      <c r="F93" s="3" t="s">
        <v>6</v>
      </c>
      <c r="G93" s="21"/>
      <c r="H93" s="21"/>
      <c r="I93" s="21"/>
      <c r="J93" s="2">
        <f t="shared" ref="J93:R93" si="85">IF($C$25&gt;=J89-3,$C$29,0)*$D$91</f>
        <v>60.000000000000007</v>
      </c>
      <c r="K93" s="2">
        <f t="shared" si="85"/>
        <v>60.000000000000007</v>
      </c>
      <c r="L93" s="2">
        <f t="shared" si="85"/>
        <v>60.000000000000007</v>
      </c>
      <c r="M93" s="2">
        <f t="shared" si="85"/>
        <v>60.000000000000007</v>
      </c>
      <c r="N93" s="2">
        <f t="shared" si="85"/>
        <v>60.000000000000007</v>
      </c>
      <c r="O93" s="2">
        <f t="shared" si="85"/>
        <v>60.000000000000007</v>
      </c>
      <c r="P93" s="2">
        <f t="shared" si="85"/>
        <v>60.000000000000007</v>
      </c>
      <c r="Q93" s="2">
        <f t="shared" si="85"/>
        <v>60.000000000000007</v>
      </c>
      <c r="R93" s="2">
        <f t="shared" si="85"/>
        <v>60.000000000000007</v>
      </c>
      <c r="S93" s="2">
        <f t="shared" si="84"/>
        <v>540.00000000000011</v>
      </c>
      <c r="T93" s="24"/>
      <c r="U93" s="2">
        <f t="shared" si="82"/>
        <v>179.99999999999989</v>
      </c>
      <c r="W93" s="2">
        <f>D91*$C$37</f>
        <v>720</v>
      </c>
    </row>
    <row r="94" spans="2:23" x14ac:dyDescent="0.35">
      <c r="B94" s="100"/>
      <c r="C94" s="101"/>
      <c r="D94" s="103"/>
      <c r="E94" s="101"/>
      <c r="F94" s="3" t="s">
        <v>7</v>
      </c>
      <c r="G94" s="21"/>
      <c r="H94" s="21"/>
      <c r="I94" s="21"/>
      <c r="J94" s="2">
        <f t="shared" ref="J94:R94" si="86">IF($C$25+4=J89,$C$38,0)*$D$91</f>
        <v>0</v>
      </c>
      <c r="K94" s="2">
        <f t="shared" si="86"/>
        <v>0</v>
      </c>
      <c r="L94" s="2">
        <f t="shared" si="86"/>
        <v>0</v>
      </c>
      <c r="M94" s="2">
        <f t="shared" si="86"/>
        <v>0</v>
      </c>
      <c r="N94" s="2">
        <f t="shared" si="86"/>
        <v>0</v>
      </c>
      <c r="O94" s="2">
        <f t="shared" si="86"/>
        <v>0</v>
      </c>
      <c r="P94" s="2">
        <f t="shared" si="86"/>
        <v>0</v>
      </c>
      <c r="Q94" s="2">
        <f t="shared" si="86"/>
        <v>0</v>
      </c>
      <c r="R94" s="2">
        <f t="shared" si="86"/>
        <v>0</v>
      </c>
      <c r="S94" s="2">
        <f t="shared" si="84"/>
        <v>0</v>
      </c>
      <c r="T94" s="24"/>
      <c r="U94" s="2">
        <f t="shared" si="82"/>
        <v>180</v>
      </c>
      <c r="W94" s="2">
        <f>D91*$C$38</f>
        <v>180</v>
      </c>
    </row>
    <row r="95" spans="2:23" x14ac:dyDescent="0.35">
      <c r="B95" s="100"/>
      <c r="C95" s="101"/>
      <c r="D95" s="103"/>
      <c r="E95" s="101"/>
      <c r="F95" s="3" t="s">
        <v>8</v>
      </c>
      <c r="G95" s="21"/>
      <c r="H95" s="21"/>
      <c r="I95" s="21"/>
      <c r="J95" s="2">
        <f t="shared" ref="J95:R95" si="87">IF($C$25&gt;=J89-3,$C$29,0)*$E$91</f>
        <v>0</v>
      </c>
      <c r="K95" s="2">
        <f t="shared" si="87"/>
        <v>0</v>
      </c>
      <c r="L95" s="2">
        <f t="shared" si="87"/>
        <v>0</v>
      </c>
      <c r="M95" s="2">
        <f t="shared" si="87"/>
        <v>0</v>
      </c>
      <c r="N95" s="2">
        <f t="shared" si="87"/>
        <v>0</v>
      </c>
      <c r="O95" s="2">
        <f t="shared" si="87"/>
        <v>0</v>
      </c>
      <c r="P95" s="2">
        <f t="shared" si="87"/>
        <v>0</v>
      </c>
      <c r="Q95" s="2">
        <f t="shared" si="87"/>
        <v>0</v>
      </c>
      <c r="R95" s="2">
        <f t="shared" si="87"/>
        <v>0</v>
      </c>
      <c r="S95" s="2">
        <f t="shared" si="84"/>
        <v>0</v>
      </c>
      <c r="T95" s="24"/>
      <c r="U95" s="2">
        <f t="shared" si="82"/>
        <v>0</v>
      </c>
      <c r="W95" s="2">
        <f>E91*$C$37</f>
        <v>0</v>
      </c>
    </row>
    <row r="96" spans="2:23" x14ac:dyDescent="0.35">
      <c r="B96" s="100"/>
      <c r="C96" s="101"/>
      <c r="D96" s="103"/>
      <c r="E96" s="101"/>
      <c r="F96" s="3" t="s">
        <v>9</v>
      </c>
      <c r="G96" s="21"/>
      <c r="H96" s="21"/>
      <c r="I96" s="21"/>
      <c r="J96" s="2">
        <f t="shared" ref="J96:R96" si="88">IF($C$25+4=J89,$C$38,0)*$E$91</f>
        <v>0</v>
      </c>
      <c r="K96" s="2">
        <f t="shared" si="88"/>
        <v>0</v>
      </c>
      <c r="L96" s="2">
        <f t="shared" si="88"/>
        <v>0</v>
      </c>
      <c r="M96" s="2">
        <f t="shared" si="88"/>
        <v>0</v>
      </c>
      <c r="N96" s="2">
        <f t="shared" si="88"/>
        <v>0</v>
      </c>
      <c r="O96" s="2">
        <f t="shared" si="88"/>
        <v>0</v>
      </c>
      <c r="P96" s="2">
        <f t="shared" si="88"/>
        <v>0</v>
      </c>
      <c r="Q96" s="2">
        <f t="shared" si="88"/>
        <v>0</v>
      </c>
      <c r="R96" s="2">
        <f t="shared" si="88"/>
        <v>0</v>
      </c>
      <c r="S96" s="2">
        <f t="shared" si="84"/>
        <v>0</v>
      </c>
      <c r="T96" s="24"/>
      <c r="U96" s="2">
        <f t="shared" si="82"/>
        <v>0</v>
      </c>
      <c r="W96" s="2">
        <f>E91*$C$38</f>
        <v>0</v>
      </c>
    </row>
    <row r="97" spans="2:23" x14ac:dyDescent="0.35">
      <c r="B97" s="100"/>
      <c r="C97" s="101"/>
      <c r="D97" s="103"/>
      <c r="E97" s="101"/>
      <c r="F97" s="3" t="s">
        <v>14</v>
      </c>
      <c r="G97" s="18"/>
      <c r="H97" s="18"/>
      <c r="I97" s="21"/>
      <c r="J97" s="22"/>
      <c r="K97" s="22"/>
      <c r="L97" s="2">
        <f>(C91+D91)*$C$30/2</f>
        <v>500</v>
      </c>
      <c r="M97" s="18"/>
      <c r="N97" s="18"/>
      <c r="O97" s="18"/>
      <c r="P97" s="18"/>
      <c r="Q97" s="18"/>
      <c r="R97" s="18"/>
      <c r="S97" s="2">
        <f t="shared" si="84"/>
        <v>500</v>
      </c>
      <c r="T97" s="20"/>
      <c r="U97" s="2">
        <f t="shared" si="82"/>
        <v>500</v>
      </c>
      <c r="W97" s="2">
        <f>(C91+D91)*$C$30</f>
        <v>1000</v>
      </c>
    </row>
    <row r="98" spans="2:23" x14ac:dyDescent="0.35">
      <c r="B98" s="100"/>
      <c r="C98" s="101"/>
      <c r="D98" s="103"/>
      <c r="E98" s="101"/>
      <c r="F98" s="3" t="s">
        <v>15</v>
      </c>
      <c r="G98" s="18"/>
      <c r="H98" s="18"/>
      <c r="I98" s="21"/>
      <c r="J98" s="22"/>
      <c r="K98" s="22"/>
      <c r="L98" s="2">
        <f>(C91+D91)*$C$31/2</f>
        <v>500</v>
      </c>
      <c r="M98" s="18"/>
      <c r="N98" s="18"/>
      <c r="O98" s="18"/>
      <c r="P98" s="18"/>
      <c r="Q98" s="18"/>
      <c r="R98" s="18"/>
      <c r="S98" s="2">
        <f t="shared" si="84"/>
        <v>500</v>
      </c>
      <c r="T98" s="20"/>
      <c r="U98" s="2">
        <f t="shared" si="82"/>
        <v>500</v>
      </c>
      <c r="W98" s="2">
        <f>(C91+D91)*$C$31</f>
        <v>1000</v>
      </c>
    </row>
    <row r="99" spans="2:23" x14ac:dyDescent="0.35">
      <c r="B99" s="100"/>
      <c r="C99" s="101"/>
      <c r="D99" s="103"/>
      <c r="E99" s="101"/>
      <c r="F99" s="3" t="s">
        <v>22</v>
      </c>
      <c r="G99" s="21"/>
      <c r="H99" s="21"/>
      <c r="I99" s="21"/>
      <c r="J99" s="2">
        <f t="shared" ref="J99:R99" si="89">IF($C$25&gt;=J89-3,$C$33,0)*($C$91+$D$91)</f>
        <v>0</v>
      </c>
      <c r="K99" s="2">
        <f t="shared" si="89"/>
        <v>0</v>
      </c>
      <c r="L99" s="2">
        <f t="shared" si="89"/>
        <v>0</v>
      </c>
      <c r="M99" s="2">
        <f t="shared" si="89"/>
        <v>0</v>
      </c>
      <c r="N99" s="2">
        <f t="shared" si="89"/>
        <v>0</v>
      </c>
      <c r="O99" s="2">
        <f t="shared" si="89"/>
        <v>0</v>
      </c>
      <c r="P99" s="2">
        <f t="shared" si="89"/>
        <v>0</v>
      </c>
      <c r="Q99" s="2">
        <f t="shared" si="89"/>
        <v>0</v>
      </c>
      <c r="R99" s="2">
        <f t="shared" si="89"/>
        <v>0</v>
      </c>
      <c r="S99" s="2">
        <f t="shared" si="84"/>
        <v>0</v>
      </c>
      <c r="T99" s="20"/>
      <c r="U99" s="19">
        <f t="shared" si="82"/>
        <v>0</v>
      </c>
      <c r="W99" s="2">
        <f>(C91+D91)*($C$32*0.8)</f>
        <v>0</v>
      </c>
    </row>
    <row r="100" spans="2:23" x14ac:dyDescent="0.35">
      <c r="B100" s="100"/>
      <c r="C100" s="101"/>
      <c r="D100" s="104"/>
      <c r="E100" s="101"/>
      <c r="F100" s="3" t="s">
        <v>23</v>
      </c>
      <c r="G100" s="21"/>
      <c r="H100" s="21"/>
      <c r="I100" s="21"/>
      <c r="J100" s="2">
        <f t="shared" ref="J100:R100" si="90">IF($C$25+1=J89-3,$C$34,0)*($C$91+$D$91)</f>
        <v>0</v>
      </c>
      <c r="K100" s="2">
        <f t="shared" si="90"/>
        <v>0</v>
      </c>
      <c r="L100" s="2">
        <f t="shared" si="90"/>
        <v>0</v>
      </c>
      <c r="M100" s="2">
        <f t="shared" si="90"/>
        <v>0</v>
      </c>
      <c r="N100" s="2">
        <f t="shared" si="90"/>
        <v>0</v>
      </c>
      <c r="O100" s="2">
        <f t="shared" si="90"/>
        <v>0</v>
      </c>
      <c r="P100" s="2">
        <f t="shared" si="90"/>
        <v>0</v>
      </c>
      <c r="Q100" s="2">
        <f t="shared" si="90"/>
        <v>0</v>
      </c>
      <c r="R100" s="2">
        <f t="shared" si="90"/>
        <v>0</v>
      </c>
      <c r="S100" s="2">
        <f t="shared" si="84"/>
        <v>0</v>
      </c>
      <c r="T100" s="20"/>
      <c r="U100" s="2">
        <f t="shared" si="82"/>
        <v>0</v>
      </c>
      <c r="V100" s="20"/>
      <c r="W100" s="2">
        <f>(C91+D91)*$C$34</f>
        <v>0</v>
      </c>
    </row>
    <row r="102" spans="2:23" x14ac:dyDescent="0.35">
      <c r="F102" s="6" t="s">
        <v>18</v>
      </c>
      <c r="G102" s="6">
        <v>1</v>
      </c>
      <c r="H102" s="6">
        <v>2</v>
      </c>
      <c r="I102" s="6">
        <v>3</v>
      </c>
      <c r="J102" s="6">
        <v>4</v>
      </c>
      <c r="K102" s="6">
        <v>5</v>
      </c>
      <c r="L102" s="6">
        <v>6</v>
      </c>
      <c r="M102" s="6">
        <v>7</v>
      </c>
      <c r="N102" s="6">
        <v>8</v>
      </c>
      <c r="O102" s="6">
        <v>9</v>
      </c>
      <c r="P102" s="6">
        <v>10</v>
      </c>
      <c r="Q102" s="6">
        <v>11</v>
      </c>
      <c r="R102" s="6">
        <v>12</v>
      </c>
    </row>
    <row r="103" spans="2:23" ht="37.5" x14ac:dyDescent="0.35">
      <c r="B103" s="8" t="s">
        <v>17</v>
      </c>
      <c r="C103" s="8" t="s">
        <v>10</v>
      </c>
      <c r="D103" s="8" t="s">
        <v>11</v>
      </c>
      <c r="E103" s="8" t="s">
        <v>12</v>
      </c>
      <c r="F103" s="17"/>
      <c r="G103" s="60">
        <v>43313</v>
      </c>
      <c r="H103" s="60">
        <v>43344</v>
      </c>
      <c r="I103" s="60">
        <v>43374</v>
      </c>
      <c r="J103" s="60">
        <v>43405</v>
      </c>
      <c r="K103" s="60">
        <v>43435</v>
      </c>
      <c r="L103" s="60">
        <v>43466</v>
      </c>
      <c r="M103" s="60">
        <v>43497</v>
      </c>
      <c r="N103" s="60">
        <v>43525</v>
      </c>
      <c r="O103" s="60">
        <v>43556</v>
      </c>
      <c r="P103" s="60">
        <v>43586</v>
      </c>
      <c r="Q103" s="60">
        <v>43617</v>
      </c>
      <c r="R103" s="60">
        <v>43647</v>
      </c>
      <c r="S103" s="59" t="s">
        <v>16</v>
      </c>
      <c r="T103" s="20"/>
      <c r="U103" s="8" t="s">
        <v>56</v>
      </c>
      <c r="W103" s="8" t="s">
        <v>16</v>
      </c>
    </row>
    <row r="104" spans="2:23" x14ac:dyDescent="0.35">
      <c r="B104" s="100">
        <v>43435</v>
      </c>
      <c r="C104" s="101">
        <f>K22</f>
        <v>0</v>
      </c>
      <c r="D104" s="102">
        <f>K23</f>
        <v>0</v>
      </c>
      <c r="E104" s="101">
        <f>K25</f>
        <v>0</v>
      </c>
      <c r="F104" s="3" t="s">
        <v>4</v>
      </c>
      <c r="G104" s="21"/>
      <c r="H104" s="21"/>
      <c r="I104" s="21"/>
      <c r="J104" s="21"/>
      <c r="K104" s="2">
        <f t="shared" ref="K104:R104" si="91">IF($C$25&gt;=K102-4,$C$28,0)*$C$104</f>
        <v>0</v>
      </c>
      <c r="L104" s="2">
        <f t="shared" si="91"/>
        <v>0</v>
      </c>
      <c r="M104" s="2">
        <f t="shared" si="91"/>
        <v>0</v>
      </c>
      <c r="N104" s="2">
        <f t="shared" si="91"/>
        <v>0</v>
      </c>
      <c r="O104" s="2">
        <f t="shared" si="91"/>
        <v>0</v>
      </c>
      <c r="P104" s="2">
        <f t="shared" si="91"/>
        <v>0</v>
      </c>
      <c r="Q104" s="2">
        <f t="shared" si="91"/>
        <v>0</v>
      </c>
      <c r="R104" s="2">
        <f t="shared" si="91"/>
        <v>0</v>
      </c>
      <c r="S104" s="2">
        <f>SUM(G104:R104)</f>
        <v>0</v>
      </c>
      <c r="T104" s="20"/>
      <c r="U104" s="2">
        <f t="shared" ref="U104:U109" si="92">W104-S104</f>
        <v>0</v>
      </c>
      <c r="W104" s="2">
        <f>C104*$C$35</f>
        <v>0</v>
      </c>
    </row>
    <row r="105" spans="2:23" x14ac:dyDescent="0.35">
      <c r="B105" s="100"/>
      <c r="C105" s="101"/>
      <c r="D105" s="103"/>
      <c r="E105" s="101"/>
      <c r="F105" s="3" t="s">
        <v>5</v>
      </c>
      <c r="G105" s="21"/>
      <c r="H105" s="21"/>
      <c r="I105" s="21"/>
      <c r="J105" s="21"/>
      <c r="K105" s="2">
        <f t="shared" ref="K105:R105" si="93">IF($C$25+5=K102,$C$36,0)*$C$104</f>
        <v>0</v>
      </c>
      <c r="L105" s="2">
        <f t="shared" si="93"/>
        <v>0</v>
      </c>
      <c r="M105" s="2">
        <f t="shared" si="93"/>
        <v>0</v>
      </c>
      <c r="N105" s="2">
        <f t="shared" si="93"/>
        <v>0</v>
      </c>
      <c r="O105" s="2">
        <f t="shared" si="93"/>
        <v>0</v>
      </c>
      <c r="P105" s="2">
        <f t="shared" si="93"/>
        <v>0</v>
      </c>
      <c r="Q105" s="2">
        <f t="shared" si="93"/>
        <v>0</v>
      </c>
      <c r="R105" s="2">
        <f t="shared" si="93"/>
        <v>0</v>
      </c>
      <c r="S105" s="2">
        <f t="shared" ref="S105:S113" si="94">SUM(G105:R105)</f>
        <v>0</v>
      </c>
      <c r="T105" s="24"/>
      <c r="U105" s="2">
        <f t="shared" si="92"/>
        <v>0</v>
      </c>
      <c r="W105" s="2">
        <f>C104*$C$36</f>
        <v>0</v>
      </c>
    </row>
    <row r="106" spans="2:23" x14ac:dyDescent="0.35">
      <c r="B106" s="100"/>
      <c r="C106" s="101"/>
      <c r="D106" s="103"/>
      <c r="E106" s="101"/>
      <c r="F106" s="3" t="s">
        <v>6</v>
      </c>
      <c r="G106" s="21"/>
      <c r="H106" s="21"/>
      <c r="I106" s="21"/>
      <c r="J106" s="21"/>
      <c r="K106" s="2">
        <f t="shared" ref="K106:R106" si="95">IF($C$25&gt;=K102-4,$C$29,0)*$D$104</f>
        <v>0</v>
      </c>
      <c r="L106" s="2">
        <f t="shared" si="95"/>
        <v>0</v>
      </c>
      <c r="M106" s="2">
        <f t="shared" si="95"/>
        <v>0</v>
      </c>
      <c r="N106" s="2">
        <f t="shared" si="95"/>
        <v>0</v>
      </c>
      <c r="O106" s="2">
        <f t="shared" si="95"/>
        <v>0</v>
      </c>
      <c r="P106" s="2">
        <f t="shared" si="95"/>
        <v>0</v>
      </c>
      <c r="Q106" s="2">
        <f t="shared" si="95"/>
        <v>0</v>
      </c>
      <c r="R106" s="2">
        <f t="shared" si="95"/>
        <v>0</v>
      </c>
      <c r="S106" s="2">
        <f t="shared" si="94"/>
        <v>0</v>
      </c>
      <c r="T106" s="24"/>
      <c r="U106" s="2">
        <f t="shared" si="92"/>
        <v>0</v>
      </c>
      <c r="W106" s="2">
        <f>D104*$C$37</f>
        <v>0</v>
      </c>
    </row>
    <row r="107" spans="2:23" x14ac:dyDescent="0.35">
      <c r="B107" s="100"/>
      <c r="C107" s="101"/>
      <c r="D107" s="103"/>
      <c r="E107" s="101"/>
      <c r="F107" s="3" t="s">
        <v>7</v>
      </c>
      <c r="G107" s="21"/>
      <c r="H107" s="21"/>
      <c r="I107" s="21"/>
      <c r="J107" s="21"/>
      <c r="K107" s="2">
        <f t="shared" ref="K107:R107" si="96">IF($C$25+5=K102,$C$38,0)*$D$104</f>
        <v>0</v>
      </c>
      <c r="L107" s="2">
        <f t="shared" si="96"/>
        <v>0</v>
      </c>
      <c r="M107" s="2">
        <f t="shared" si="96"/>
        <v>0</v>
      </c>
      <c r="N107" s="2">
        <f t="shared" si="96"/>
        <v>0</v>
      </c>
      <c r="O107" s="2">
        <f t="shared" si="96"/>
        <v>0</v>
      </c>
      <c r="P107" s="2">
        <f t="shared" si="96"/>
        <v>0</v>
      </c>
      <c r="Q107" s="2">
        <f t="shared" si="96"/>
        <v>0</v>
      </c>
      <c r="R107" s="2">
        <f t="shared" si="96"/>
        <v>0</v>
      </c>
      <c r="S107" s="2">
        <f t="shared" si="94"/>
        <v>0</v>
      </c>
      <c r="T107" s="24"/>
      <c r="U107" s="2">
        <f t="shared" si="92"/>
        <v>0</v>
      </c>
      <c r="W107" s="2">
        <f>D104*$C$38</f>
        <v>0</v>
      </c>
    </row>
    <row r="108" spans="2:23" x14ac:dyDescent="0.35">
      <c r="B108" s="100"/>
      <c r="C108" s="101"/>
      <c r="D108" s="103"/>
      <c r="E108" s="101"/>
      <c r="F108" s="3" t="s">
        <v>8</v>
      </c>
      <c r="G108" s="21"/>
      <c r="H108" s="21"/>
      <c r="I108" s="21"/>
      <c r="J108" s="21"/>
      <c r="K108" s="2">
        <f t="shared" ref="K108:R108" si="97">IF($C$25&gt;=K102-4,$C$29,0)*$E$104</f>
        <v>0</v>
      </c>
      <c r="L108" s="2">
        <f t="shared" si="97"/>
        <v>0</v>
      </c>
      <c r="M108" s="2">
        <f t="shared" si="97"/>
        <v>0</v>
      </c>
      <c r="N108" s="2">
        <f t="shared" si="97"/>
        <v>0</v>
      </c>
      <c r="O108" s="2">
        <f t="shared" si="97"/>
        <v>0</v>
      </c>
      <c r="P108" s="2">
        <f t="shared" si="97"/>
        <v>0</v>
      </c>
      <c r="Q108" s="2">
        <f t="shared" si="97"/>
        <v>0</v>
      </c>
      <c r="R108" s="2">
        <f t="shared" si="97"/>
        <v>0</v>
      </c>
      <c r="S108" s="2">
        <f t="shared" si="94"/>
        <v>0</v>
      </c>
      <c r="T108" s="24"/>
      <c r="U108" s="2">
        <f t="shared" si="92"/>
        <v>0</v>
      </c>
      <c r="W108" s="2">
        <f>E104*$C$37</f>
        <v>0</v>
      </c>
    </row>
    <row r="109" spans="2:23" x14ac:dyDescent="0.35">
      <c r="B109" s="100"/>
      <c r="C109" s="101"/>
      <c r="D109" s="103"/>
      <c r="E109" s="101"/>
      <c r="F109" s="3" t="s">
        <v>9</v>
      </c>
      <c r="G109" s="21"/>
      <c r="H109" s="21"/>
      <c r="I109" s="21"/>
      <c r="J109" s="21"/>
      <c r="K109" s="2">
        <f t="shared" ref="K109:R109" si="98">IF($C$25+5=K102,$C$38,0)*$E$104</f>
        <v>0</v>
      </c>
      <c r="L109" s="2">
        <f t="shared" si="98"/>
        <v>0</v>
      </c>
      <c r="M109" s="2">
        <f t="shared" si="98"/>
        <v>0</v>
      </c>
      <c r="N109" s="2">
        <f t="shared" si="98"/>
        <v>0</v>
      </c>
      <c r="O109" s="2">
        <f t="shared" si="98"/>
        <v>0</v>
      </c>
      <c r="P109" s="2">
        <f t="shared" si="98"/>
        <v>0</v>
      </c>
      <c r="Q109" s="2">
        <f t="shared" si="98"/>
        <v>0</v>
      </c>
      <c r="R109" s="2">
        <f t="shared" si="98"/>
        <v>0</v>
      </c>
      <c r="S109" s="2">
        <f t="shared" si="94"/>
        <v>0</v>
      </c>
      <c r="T109" s="24"/>
      <c r="U109" s="2">
        <f t="shared" si="92"/>
        <v>0</v>
      </c>
      <c r="W109" s="2">
        <f>E104*$C$38</f>
        <v>0</v>
      </c>
    </row>
    <row r="110" spans="2:23" x14ac:dyDescent="0.35">
      <c r="B110" s="100"/>
      <c r="C110" s="101"/>
      <c r="D110" s="103"/>
      <c r="E110" s="101"/>
      <c r="F110" s="3" t="s">
        <v>14</v>
      </c>
      <c r="G110" s="18"/>
      <c r="H110" s="18"/>
      <c r="I110" s="21"/>
      <c r="J110" s="22"/>
      <c r="K110" s="22"/>
      <c r="L110" s="22"/>
      <c r="M110" s="2">
        <f>(C104+D104)*$C$30/2</f>
        <v>0</v>
      </c>
      <c r="N110" s="18"/>
      <c r="O110" s="18"/>
      <c r="P110" s="18"/>
      <c r="Q110" s="18"/>
      <c r="R110" s="18"/>
      <c r="S110" s="2">
        <f t="shared" si="94"/>
        <v>0</v>
      </c>
      <c r="T110" s="20"/>
      <c r="U110" s="2">
        <f>(C104+D104)*$C$30/2</f>
        <v>0</v>
      </c>
      <c r="W110" s="2">
        <f>(C104+D104)*$C$30</f>
        <v>0</v>
      </c>
    </row>
    <row r="111" spans="2:23" x14ac:dyDescent="0.35">
      <c r="B111" s="100"/>
      <c r="C111" s="101"/>
      <c r="D111" s="103"/>
      <c r="E111" s="101"/>
      <c r="F111" s="3" t="s">
        <v>15</v>
      </c>
      <c r="G111" s="18"/>
      <c r="H111" s="18"/>
      <c r="I111" s="21"/>
      <c r="J111" s="22"/>
      <c r="K111" s="22"/>
      <c r="L111" s="22"/>
      <c r="M111" s="2">
        <f>(C104+D104)*$C$31/2</f>
        <v>0</v>
      </c>
      <c r="N111" s="18"/>
      <c r="O111" s="18"/>
      <c r="P111" s="18"/>
      <c r="Q111" s="18"/>
      <c r="R111" s="18"/>
      <c r="S111" s="2">
        <f t="shared" si="94"/>
        <v>0</v>
      </c>
      <c r="T111" s="20"/>
      <c r="U111" s="2">
        <f>(C104+D104)*$C$31/2</f>
        <v>0</v>
      </c>
      <c r="W111" s="2">
        <f>(C104+D104)*$C$31</f>
        <v>0</v>
      </c>
    </row>
    <row r="112" spans="2:23" x14ac:dyDescent="0.35">
      <c r="B112" s="100"/>
      <c r="C112" s="101"/>
      <c r="D112" s="103"/>
      <c r="E112" s="101"/>
      <c r="F112" s="3" t="s">
        <v>22</v>
      </c>
      <c r="G112" s="21"/>
      <c r="H112" s="21"/>
      <c r="I112" s="21"/>
      <c r="J112" s="21"/>
      <c r="K112" s="2">
        <f t="shared" ref="K112:R112" si="99">IF($C$25&gt;=K102-4,$C$33,0)*($C$104+$D$104)</f>
        <v>0</v>
      </c>
      <c r="L112" s="2">
        <f t="shared" si="99"/>
        <v>0</v>
      </c>
      <c r="M112" s="2">
        <f t="shared" si="99"/>
        <v>0</v>
      </c>
      <c r="N112" s="2">
        <f t="shared" si="99"/>
        <v>0</v>
      </c>
      <c r="O112" s="2">
        <f t="shared" si="99"/>
        <v>0</v>
      </c>
      <c r="P112" s="2">
        <f t="shared" si="99"/>
        <v>0</v>
      </c>
      <c r="Q112" s="2">
        <f t="shared" si="99"/>
        <v>0</v>
      </c>
      <c r="R112" s="2">
        <f t="shared" si="99"/>
        <v>0</v>
      </c>
      <c r="S112" s="2">
        <f t="shared" si="94"/>
        <v>0</v>
      </c>
      <c r="T112" s="20"/>
      <c r="U112" s="19">
        <f>W112-S112</f>
        <v>0</v>
      </c>
      <c r="W112" s="2">
        <f>(C104+D104)*($C$32*0.8)</f>
        <v>0</v>
      </c>
    </row>
    <row r="113" spans="2:23" x14ac:dyDescent="0.35">
      <c r="B113" s="100"/>
      <c r="C113" s="101"/>
      <c r="D113" s="104"/>
      <c r="E113" s="101"/>
      <c r="F113" s="3" t="s">
        <v>23</v>
      </c>
      <c r="G113" s="21"/>
      <c r="H113" s="21"/>
      <c r="I113" s="21"/>
      <c r="J113" s="21"/>
      <c r="K113" s="2">
        <f t="shared" ref="K113:R113" si="100">IF($C$25+1=K102-4,$C$34,0)*($C$104+$D$104)</f>
        <v>0</v>
      </c>
      <c r="L113" s="2">
        <f t="shared" si="100"/>
        <v>0</v>
      </c>
      <c r="M113" s="2">
        <f t="shared" si="100"/>
        <v>0</v>
      </c>
      <c r="N113" s="2">
        <f t="shared" si="100"/>
        <v>0</v>
      </c>
      <c r="O113" s="2">
        <f t="shared" si="100"/>
        <v>0</v>
      </c>
      <c r="P113" s="2">
        <f t="shared" si="100"/>
        <v>0</v>
      </c>
      <c r="Q113" s="2">
        <f t="shared" si="100"/>
        <v>0</v>
      </c>
      <c r="R113" s="2">
        <f t="shared" si="100"/>
        <v>0</v>
      </c>
      <c r="S113" s="2">
        <f t="shared" si="94"/>
        <v>0</v>
      </c>
      <c r="T113" s="20"/>
      <c r="U113" s="2">
        <f>W113-S113</f>
        <v>0</v>
      </c>
      <c r="V113" s="20"/>
      <c r="W113" s="2">
        <f>(C104+D104)*$C$34</f>
        <v>0</v>
      </c>
    </row>
    <row r="115" spans="2:23" x14ac:dyDescent="0.35">
      <c r="F115" s="6" t="s">
        <v>18</v>
      </c>
      <c r="G115" s="6">
        <v>1</v>
      </c>
      <c r="H115" s="6">
        <v>2</v>
      </c>
      <c r="I115" s="6">
        <v>3</v>
      </c>
      <c r="J115" s="6">
        <v>4</v>
      </c>
      <c r="K115" s="6">
        <v>5</v>
      </c>
      <c r="L115" s="6">
        <v>6</v>
      </c>
      <c r="M115" s="6">
        <v>7</v>
      </c>
      <c r="N115" s="6">
        <v>8</v>
      </c>
      <c r="O115" s="6">
        <v>9</v>
      </c>
      <c r="P115" s="6">
        <v>10</v>
      </c>
      <c r="Q115" s="6">
        <v>11</v>
      </c>
      <c r="R115" s="6">
        <v>12</v>
      </c>
    </row>
    <row r="116" spans="2:23" ht="37.5" x14ac:dyDescent="0.35">
      <c r="B116" s="8" t="s">
        <v>17</v>
      </c>
      <c r="C116" s="8" t="s">
        <v>10</v>
      </c>
      <c r="D116" s="8" t="s">
        <v>11</v>
      </c>
      <c r="E116" s="8" t="s">
        <v>12</v>
      </c>
      <c r="F116" s="17"/>
      <c r="G116" s="60">
        <v>43313</v>
      </c>
      <c r="H116" s="60">
        <v>43344</v>
      </c>
      <c r="I116" s="60">
        <v>43374</v>
      </c>
      <c r="J116" s="60">
        <v>43405</v>
      </c>
      <c r="K116" s="60">
        <v>43435</v>
      </c>
      <c r="L116" s="60">
        <v>43466</v>
      </c>
      <c r="M116" s="60">
        <v>43497</v>
      </c>
      <c r="N116" s="60">
        <v>43525</v>
      </c>
      <c r="O116" s="60">
        <v>43556</v>
      </c>
      <c r="P116" s="60">
        <v>43586</v>
      </c>
      <c r="Q116" s="60">
        <v>43617</v>
      </c>
      <c r="R116" s="60">
        <v>43647</v>
      </c>
      <c r="S116" s="59" t="s">
        <v>16</v>
      </c>
      <c r="T116" s="20"/>
      <c r="U116" s="8" t="s">
        <v>56</v>
      </c>
      <c r="W116" s="8" t="s">
        <v>16</v>
      </c>
    </row>
    <row r="117" spans="2:23" x14ac:dyDescent="0.35">
      <c r="B117" s="100">
        <v>43466</v>
      </c>
      <c r="C117" s="101">
        <f>L22</f>
        <v>0</v>
      </c>
      <c r="D117" s="102">
        <f>L23</f>
        <v>0</v>
      </c>
      <c r="E117" s="101">
        <f>L25</f>
        <v>0</v>
      </c>
      <c r="F117" s="3" t="s">
        <v>4</v>
      </c>
      <c r="G117" s="21"/>
      <c r="H117" s="21"/>
      <c r="I117" s="21"/>
      <c r="J117" s="21"/>
      <c r="K117" s="21"/>
      <c r="L117" s="2">
        <f t="shared" ref="L117:R117" si="101">IF($C$25&gt;=L115-5,$C$28,0)*$C$117</f>
        <v>0</v>
      </c>
      <c r="M117" s="2">
        <f t="shared" si="101"/>
        <v>0</v>
      </c>
      <c r="N117" s="2">
        <f t="shared" si="101"/>
        <v>0</v>
      </c>
      <c r="O117" s="2">
        <f t="shared" si="101"/>
        <v>0</v>
      </c>
      <c r="P117" s="2">
        <f t="shared" si="101"/>
        <v>0</v>
      </c>
      <c r="Q117" s="2">
        <f t="shared" si="101"/>
        <v>0</v>
      </c>
      <c r="R117" s="2">
        <f t="shared" si="101"/>
        <v>0</v>
      </c>
      <c r="S117" s="2">
        <f>SUM(G117:R117)</f>
        <v>0</v>
      </c>
      <c r="T117" s="20"/>
      <c r="U117" s="2">
        <f t="shared" ref="U117:U122" si="102">W117-S117</f>
        <v>0</v>
      </c>
      <c r="W117" s="2">
        <f>C117*$C$35</f>
        <v>0</v>
      </c>
    </row>
    <row r="118" spans="2:23" x14ac:dyDescent="0.35">
      <c r="B118" s="100"/>
      <c r="C118" s="101"/>
      <c r="D118" s="103"/>
      <c r="E118" s="101"/>
      <c r="F118" s="3" t="s">
        <v>5</v>
      </c>
      <c r="G118" s="21"/>
      <c r="H118" s="21"/>
      <c r="I118" s="21"/>
      <c r="J118" s="21"/>
      <c r="K118" s="21"/>
      <c r="L118" s="2">
        <f t="shared" ref="L118:R118" si="103">IF($C$25+6=L115,$C$36,0)*$C$117</f>
        <v>0</v>
      </c>
      <c r="M118" s="2">
        <f t="shared" si="103"/>
        <v>0</v>
      </c>
      <c r="N118" s="2">
        <f t="shared" si="103"/>
        <v>0</v>
      </c>
      <c r="O118" s="2">
        <f t="shared" si="103"/>
        <v>0</v>
      </c>
      <c r="P118" s="2">
        <f t="shared" si="103"/>
        <v>0</v>
      </c>
      <c r="Q118" s="2">
        <f t="shared" si="103"/>
        <v>0</v>
      </c>
      <c r="R118" s="2">
        <f t="shared" si="103"/>
        <v>0</v>
      </c>
      <c r="S118" s="2">
        <f t="shared" ref="S118:S126" si="104">SUM(G118:R118)</f>
        <v>0</v>
      </c>
      <c r="T118" s="24"/>
      <c r="U118" s="2">
        <f t="shared" si="102"/>
        <v>0</v>
      </c>
      <c r="W118" s="2">
        <f>C117*$C$36</f>
        <v>0</v>
      </c>
    </row>
    <row r="119" spans="2:23" x14ac:dyDescent="0.35">
      <c r="B119" s="100"/>
      <c r="C119" s="101"/>
      <c r="D119" s="103"/>
      <c r="E119" s="101"/>
      <c r="F119" s="3" t="s">
        <v>6</v>
      </c>
      <c r="G119" s="21"/>
      <c r="H119" s="21"/>
      <c r="I119" s="21"/>
      <c r="J119" s="21"/>
      <c r="K119" s="21"/>
      <c r="L119" s="2">
        <f t="shared" ref="L119:R119" si="105">IF($C$25&gt;=L115-5,$C$29,0)*$D$117</f>
        <v>0</v>
      </c>
      <c r="M119" s="2">
        <f t="shared" si="105"/>
        <v>0</v>
      </c>
      <c r="N119" s="2">
        <f t="shared" si="105"/>
        <v>0</v>
      </c>
      <c r="O119" s="2">
        <f t="shared" si="105"/>
        <v>0</v>
      </c>
      <c r="P119" s="2">
        <f t="shared" si="105"/>
        <v>0</v>
      </c>
      <c r="Q119" s="2">
        <f t="shared" si="105"/>
        <v>0</v>
      </c>
      <c r="R119" s="2">
        <f t="shared" si="105"/>
        <v>0</v>
      </c>
      <c r="S119" s="2">
        <f t="shared" si="104"/>
        <v>0</v>
      </c>
      <c r="T119" s="24"/>
      <c r="U119" s="2">
        <f t="shared" si="102"/>
        <v>0</v>
      </c>
      <c r="W119" s="2">
        <f>D117*$C$37</f>
        <v>0</v>
      </c>
    </row>
    <row r="120" spans="2:23" x14ac:dyDescent="0.35">
      <c r="B120" s="100"/>
      <c r="C120" s="101"/>
      <c r="D120" s="103"/>
      <c r="E120" s="101"/>
      <c r="F120" s="3" t="s">
        <v>7</v>
      </c>
      <c r="G120" s="21"/>
      <c r="H120" s="21"/>
      <c r="I120" s="21"/>
      <c r="J120" s="21"/>
      <c r="K120" s="21"/>
      <c r="L120" s="2">
        <f t="shared" ref="L120:R120" si="106">IF($C$25+6=L115,$C$38,0)*$D$117</f>
        <v>0</v>
      </c>
      <c r="M120" s="2">
        <f t="shared" si="106"/>
        <v>0</v>
      </c>
      <c r="N120" s="2">
        <f t="shared" si="106"/>
        <v>0</v>
      </c>
      <c r="O120" s="2">
        <f t="shared" si="106"/>
        <v>0</v>
      </c>
      <c r="P120" s="2">
        <f t="shared" si="106"/>
        <v>0</v>
      </c>
      <c r="Q120" s="2">
        <f t="shared" si="106"/>
        <v>0</v>
      </c>
      <c r="R120" s="2">
        <f t="shared" si="106"/>
        <v>0</v>
      </c>
      <c r="S120" s="2">
        <f t="shared" si="104"/>
        <v>0</v>
      </c>
      <c r="T120" s="24"/>
      <c r="U120" s="2">
        <f t="shared" si="102"/>
        <v>0</v>
      </c>
      <c r="W120" s="2">
        <f>D117*$C$38</f>
        <v>0</v>
      </c>
    </row>
    <row r="121" spans="2:23" x14ac:dyDescent="0.35">
      <c r="B121" s="100"/>
      <c r="C121" s="101"/>
      <c r="D121" s="103"/>
      <c r="E121" s="101"/>
      <c r="F121" s="3" t="s">
        <v>8</v>
      </c>
      <c r="G121" s="21"/>
      <c r="H121" s="21"/>
      <c r="I121" s="21"/>
      <c r="J121" s="21"/>
      <c r="K121" s="21"/>
      <c r="L121" s="2">
        <f t="shared" ref="L121:R121" si="107">IF($C$25&gt;=L115-5,$C$29,0)*$E$117</f>
        <v>0</v>
      </c>
      <c r="M121" s="2">
        <f t="shared" si="107"/>
        <v>0</v>
      </c>
      <c r="N121" s="2">
        <f t="shared" si="107"/>
        <v>0</v>
      </c>
      <c r="O121" s="2">
        <f t="shared" si="107"/>
        <v>0</v>
      </c>
      <c r="P121" s="2">
        <f t="shared" si="107"/>
        <v>0</v>
      </c>
      <c r="Q121" s="2">
        <f t="shared" si="107"/>
        <v>0</v>
      </c>
      <c r="R121" s="2">
        <f t="shared" si="107"/>
        <v>0</v>
      </c>
      <c r="S121" s="2">
        <f t="shared" si="104"/>
        <v>0</v>
      </c>
      <c r="T121" s="24"/>
      <c r="U121" s="2">
        <f t="shared" si="102"/>
        <v>0</v>
      </c>
      <c r="W121" s="2">
        <f>E117*$C$37</f>
        <v>0</v>
      </c>
    </row>
    <row r="122" spans="2:23" x14ac:dyDescent="0.35">
      <c r="B122" s="100"/>
      <c r="C122" s="101"/>
      <c r="D122" s="103"/>
      <c r="E122" s="101"/>
      <c r="F122" s="3" t="s">
        <v>9</v>
      </c>
      <c r="G122" s="21"/>
      <c r="H122" s="21"/>
      <c r="I122" s="21"/>
      <c r="J122" s="21"/>
      <c r="K122" s="21"/>
      <c r="L122" s="2">
        <f t="shared" ref="L122:R122" si="108">IF($C$25+6=L115,$C$38,0)*$E$117</f>
        <v>0</v>
      </c>
      <c r="M122" s="2">
        <f t="shared" si="108"/>
        <v>0</v>
      </c>
      <c r="N122" s="2">
        <f t="shared" si="108"/>
        <v>0</v>
      </c>
      <c r="O122" s="2">
        <f t="shared" si="108"/>
        <v>0</v>
      </c>
      <c r="P122" s="2">
        <f t="shared" si="108"/>
        <v>0</v>
      </c>
      <c r="Q122" s="2">
        <f t="shared" si="108"/>
        <v>0</v>
      </c>
      <c r="R122" s="2">
        <f t="shared" si="108"/>
        <v>0</v>
      </c>
      <c r="S122" s="2">
        <f t="shared" si="104"/>
        <v>0</v>
      </c>
      <c r="T122" s="24"/>
      <c r="U122" s="2">
        <f t="shared" si="102"/>
        <v>0</v>
      </c>
      <c r="W122" s="2">
        <f>E117*$C$38</f>
        <v>0</v>
      </c>
    </row>
    <row r="123" spans="2:23" x14ac:dyDescent="0.35">
      <c r="B123" s="100"/>
      <c r="C123" s="101"/>
      <c r="D123" s="103"/>
      <c r="E123" s="101"/>
      <c r="F123" s="3" t="s">
        <v>14</v>
      </c>
      <c r="G123" s="18"/>
      <c r="H123" s="18"/>
      <c r="I123" s="21"/>
      <c r="J123" s="22"/>
      <c r="K123" s="22"/>
      <c r="L123" s="22"/>
      <c r="M123" s="22"/>
      <c r="N123" s="2">
        <f>(C117+D117)*$C$30/2</f>
        <v>0</v>
      </c>
      <c r="O123" s="18"/>
      <c r="P123" s="18"/>
      <c r="Q123" s="18"/>
      <c r="R123" s="18"/>
      <c r="S123" s="2">
        <f t="shared" si="104"/>
        <v>0</v>
      </c>
      <c r="T123" s="20"/>
      <c r="U123" s="2">
        <f>(C117+D117)*$C$30/2</f>
        <v>0</v>
      </c>
      <c r="W123" s="2">
        <f>(C117+D117)*$C$30</f>
        <v>0</v>
      </c>
    </row>
    <row r="124" spans="2:23" x14ac:dyDescent="0.35">
      <c r="B124" s="100"/>
      <c r="C124" s="101"/>
      <c r="D124" s="103"/>
      <c r="E124" s="101"/>
      <c r="F124" s="3" t="s">
        <v>15</v>
      </c>
      <c r="G124" s="18"/>
      <c r="H124" s="18"/>
      <c r="I124" s="21"/>
      <c r="J124" s="22"/>
      <c r="K124" s="22"/>
      <c r="L124" s="22"/>
      <c r="M124" s="22"/>
      <c r="N124" s="2">
        <f>(C117+D117)*$C$31/2</f>
        <v>0</v>
      </c>
      <c r="O124" s="18"/>
      <c r="P124" s="18"/>
      <c r="Q124" s="18"/>
      <c r="R124" s="18"/>
      <c r="S124" s="2">
        <f t="shared" si="104"/>
        <v>0</v>
      </c>
      <c r="T124" s="20"/>
      <c r="U124" s="2">
        <f>(C117+D117)*$C$31/2</f>
        <v>0</v>
      </c>
      <c r="W124" s="2">
        <f>(C117+D117)*$C$31</f>
        <v>0</v>
      </c>
    </row>
    <row r="125" spans="2:23" x14ac:dyDescent="0.35">
      <c r="B125" s="100"/>
      <c r="C125" s="101"/>
      <c r="D125" s="103"/>
      <c r="E125" s="101"/>
      <c r="F125" s="3" t="s">
        <v>22</v>
      </c>
      <c r="G125" s="21"/>
      <c r="H125" s="21"/>
      <c r="I125" s="21"/>
      <c r="J125" s="21"/>
      <c r="K125" s="21"/>
      <c r="L125" s="2">
        <f t="shared" ref="L125:R125" si="109">IF($C$25&gt;=L115-5,$C$33,0)*($C$117+$D$117)</f>
        <v>0</v>
      </c>
      <c r="M125" s="2">
        <f t="shared" si="109"/>
        <v>0</v>
      </c>
      <c r="N125" s="2">
        <f t="shared" si="109"/>
        <v>0</v>
      </c>
      <c r="O125" s="2">
        <f t="shared" si="109"/>
        <v>0</v>
      </c>
      <c r="P125" s="2">
        <f t="shared" si="109"/>
        <v>0</v>
      </c>
      <c r="Q125" s="2">
        <f t="shared" si="109"/>
        <v>0</v>
      </c>
      <c r="R125" s="2">
        <f t="shared" si="109"/>
        <v>0</v>
      </c>
      <c r="S125" s="2">
        <f t="shared" si="104"/>
        <v>0</v>
      </c>
      <c r="T125" s="20"/>
      <c r="U125" s="19">
        <f>W125-S125</f>
        <v>0</v>
      </c>
      <c r="W125" s="2">
        <f>(C117+D117)*($C$32*0.8)</f>
        <v>0</v>
      </c>
    </row>
    <row r="126" spans="2:23" x14ac:dyDescent="0.35">
      <c r="B126" s="100"/>
      <c r="C126" s="101"/>
      <c r="D126" s="104"/>
      <c r="E126" s="101"/>
      <c r="F126" s="3" t="s">
        <v>23</v>
      </c>
      <c r="G126" s="21"/>
      <c r="H126" s="21"/>
      <c r="I126" s="21"/>
      <c r="J126" s="21"/>
      <c r="K126" s="21"/>
      <c r="L126" s="2">
        <f t="shared" ref="L126:R126" si="110">IF($C$25+1=L115-5,$C$34,0)*($C$117+$D$117)</f>
        <v>0</v>
      </c>
      <c r="M126" s="2">
        <f t="shared" si="110"/>
        <v>0</v>
      </c>
      <c r="N126" s="2">
        <f t="shared" si="110"/>
        <v>0</v>
      </c>
      <c r="O126" s="2">
        <f t="shared" si="110"/>
        <v>0</v>
      </c>
      <c r="P126" s="2">
        <f t="shared" si="110"/>
        <v>0</v>
      </c>
      <c r="Q126" s="2">
        <f t="shared" si="110"/>
        <v>0</v>
      </c>
      <c r="R126" s="2">
        <f t="shared" si="110"/>
        <v>0</v>
      </c>
      <c r="S126" s="2">
        <f t="shared" si="104"/>
        <v>0</v>
      </c>
      <c r="T126" s="20"/>
      <c r="U126" s="2">
        <f>W126-S126</f>
        <v>0</v>
      </c>
      <c r="V126" s="20"/>
      <c r="W126" s="2">
        <f>(C117+D117)*$C$34</f>
        <v>0</v>
      </c>
    </row>
    <row r="128" spans="2:23" x14ac:dyDescent="0.35">
      <c r="F128" s="6" t="s">
        <v>18</v>
      </c>
      <c r="G128" s="6">
        <v>1</v>
      </c>
      <c r="H128" s="6">
        <v>2</v>
      </c>
      <c r="I128" s="6">
        <v>3</v>
      </c>
      <c r="J128" s="6">
        <v>4</v>
      </c>
      <c r="K128" s="6">
        <v>5</v>
      </c>
      <c r="L128" s="6">
        <v>6</v>
      </c>
      <c r="M128" s="6">
        <v>7</v>
      </c>
      <c r="N128" s="6">
        <v>8</v>
      </c>
      <c r="O128" s="6">
        <v>9</v>
      </c>
      <c r="P128" s="6">
        <v>10</v>
      </c>
      <c r="Q128" s="6">
        <v>11</v>
      </c>
      <c r="R128" s="6">
        <v>12</v>
      </c>
    </row>
    <row r="129" spans="2:23" ht="37.5" x14ac:dyDescent="0.35">
      <c r="B129" s="8" t="s">
        <v>17</v>
      </c>
      <c r="C129" s="8" t="s">
        <v>10</v>
      </c>
      <c r="D129" s="8" t="s">
        <v>11</v>
      </c>
      <c r="E129" s="8" t="s">
        <v>12</v>
      </c>
      <c r="F129" s="17"/>
      <c r="G129" s="60">
        <v>43313</v>
      </c>
      <c r="H129" s="60">
        <v>43344</v>
      </c>
      <c r="I129" s="60">
        <v>43374</v>
      </c>
      <c r="J129" s="60">
        <v>43405</v>
      </c>
      <c r="K129" s="60">
        <v>43435</v>
      </c>
      <c r="L129" s="60">
        <v>43466</v>
      </c>
      <c r="M129" s="60">
        <v>43497</v>
      </c>
      <c r="N129" s="60">
        <v>43525</v>
      </c>
      <c r="O129" s="60">
        <v>43556</v>
      </c>
      <c r="P129" s="60">
        <v>43586</v>
      </c>
      <c r="Q129" s="60">
        <v>43617</v>
      </c>
      <c r="R129" s="60">
        <v>43647</v>
      </c>
      <c r="S129" s="59" t="s">
        <v>16</v>
      </c>
      <c r="T129" s="20"/>
      <c r="U129" s="8" t="s">
        <v>56</v>
      </c>
      <c r="W129" s="8" t="s">
        <v>16</v>
      </c>
    </row>
    <row r="130" spans="2:23" x14ac:dyDescent="0.35">
      <c r="B130" s="100">
        <v>43497</v>
      </c>
      <c r="C130" s="101">
        <f>M22</f>
        <v>0</v>
      </c>
      <c r="D130" s="102">
        <f>M23</f>
        <v>0</v>
      </c>
      <c r="E130" s="101">
        <f>M25</f>
        <v>0</v>
      </c>
      <c r="F130" s="3" t="s">
        <v>4</v>
      </c>
      <c r="G130" s="21"/>
      <c r="H130" s="21"/>
      <c r="I130" s="21"/>
      <c r="J130" s="21"/>
      <c r="K130" s="21"/>
      <c r="L130" s="21"/>
      <c r="M130" s="2">
        <f t="shared" ref="M130:R130" si="111">IF($C$25&gt;=M128-6,$C$28,0)*$C$130</f>
        <v>0</v>
      </c>
      <c r="N130" s="2">
        <f t="shared" si="111"/>
        <v>0</v>
      </c>
      <c r="O130" s="2">
        <f t="shared" si="111"/>
        <v>0</v>
      </c>
      <c r="P130" s="2">
        <f t="shared" si="111"/>
        <v>0</v>
      </c>
      <c r="Q130" s="2">
        <f t="shared" si="111"/>
        <v>0</v>
      </c>
      <c r="R130" s="2">
        <f t="shared" si="111"/>
        <v>0</v>
      </c>
      <c r="S130" s="2">
        <f>SUM(G130:R130)</f>
        <v>0</v>
      </c>
      <c r="T130" s="20"/>
      <c r="U130" s="2">
        <f t="shared" ref="U130:U135" si="112">W130-S130</f>
        <v>0</v>
      </c>
      <c r="W130" s="2">
        <f>C130*$C$35</f>
        <v>0</v>
      </c>
    </row>
    <row r="131" spans="2:23" x14ac:dyDescent="0.35">
      <c r="B131" s="100"/>
      <c r="C131" s="101"/>
      <c r="D131" s="103"/>
      <c r="E131" s="101"/>
      <c r="F131" s="3" t="s">
        <v>5</v>
      </c>
      <c r="G131" s="21"/>
      <c r="H131" s="21"/>
      <c r="I131" s="21"/>
      <c r="J131" s="21"/>
      <c r="K131" s="21"/>
      <c r="L131" s="21"/>
      <c r="M131" s="2">
        <f t="shared" ref="M131:R131" si="113">IF($C$25+7=M128,$C$36,0)*$C$130</f>
        <v>0</v>
      </c>
      <c r="N131" s="2">
        <f t="shared" si="113"/>
        <v>0</v>
      </c>
      <c r="O131" s="2">
        <f t="shared" si="113"/>
        <v>0</v>
      </c>
      <c r="P131" s="2">
        <f t="shared" si="113"/>
        <v>0</v>
      </c>
      <c r="Q131" s="2">
        <f t="shared" si="113"/>
        <v>0</v>
      </c>
      <c r="R131" s="2">
        <f t="shared" si="113"/>
        <v>0</v>
      </c>
      <c r="S131" s="2">
        <f t="shared" ref="S131:S139" si="114">SUM(G131:R131)</f>
        <v>0</v>
      </c>
      <c r="T131" s="24"/>
      <c r="U131" s="2">
        <f t="shared" si="112"/>
        <v>0</v>
      </c>
      <c r="W131" s="2">
        <f>C130*$C$36</f>
        <v>0</v>
      </c>
    </row>
    <row r="132" spans="2:23" x14ac:dyDescent="0.35">
      <c r="B132" s="100"/>
      <c r="C132" s="101"/>
      <c r="D132" s="103"/>
      <c r="E132" s="101"/>
      <c r="F132" s="3" t="s">
        <v>6</v>
      </c>
      <c r="G132" s="21"/>
      <c r="H132" s="21"/>
      <c r="I132" s="21"/>
      <c r="J132" s="21"/>
      <c r="K132" s="21"/>
      <c r="L132" s="21"/>
      <c r="M132" s="2">
        <f t="shared" ref="M132:R132" si="115">IF($C$25&gt;=M128-6,$C$29,0)*$D$130</f>
        <v>0</v>
      </c>
      <c r="N132" s="2">
        <f t="shared" si="115"/>
        <v>0</v>
      </c>
      <c r="O132" s="2">
        <f t="shared" si="115"/>
        <v>0</v>
      </c>
      <c r="P132" s="2">
        <f t="shared" si="115"/>
        <v>0</v>
      </c>
      <c r="Q132" s="2">
        <f t="shared" si="115"/>
        <v>0</v>
      </c>
      <c r="R132" s="2">
        <f t="shared" si="115"/>
        <v>0</v>
      </c>
      <c r="S132" s="2">
        <f t="shared" si="114"/>
        <v>0</v>
      </c>
      <c r="T132" s="24"/>
      <c r="U132" s="2">
        <f t="shared" si="112"/>
        <v>0</v>
      </c>
      <c r="W132" s="2">
        <f>D130*$C$37</f>
        <v>0</v>
      </c>
    </row>
    <row r="133" spans="2:23" x14ac:dyDescent="0.35">
      <c r="B133" s="100"/>
      <c r="C133" s="101"/>
      <c r="D133" s="103"/>
      <c r="E133" s="101"/>
      <c r="F133" s="3" t="s">
        <v>7</v>
      </c>
      <c r="G133" s="21"/>
      <c r="H133" s="21"/>
      <c r="I133" s="21"/>
      <c r="J133" s="21"/>
      <c r="K133" s="21"/>
      <c r="L133" s="21"/>
      <c r="M133" s="2">
        <f t="shared" ref="M133:R133" si="116">IF($C$25+7=M128,$C$38,0)*$D$130</f>
        <v>0</v>
      </c>
      <c r="N133" s="2">
        <f t="shared" si="116"/>
        <v>0</v>
      </c>
      <c r="O133" s="2">
        <f t="shared" si="116"/>
        <v>0</v>
      </c>
      <c r="P133" s="2">
        <f t="shared" si="116"/>
        <v>0</v>
      </c>
      <c r="Q133" s="2">
        <f t="shared" si="116"/>
        <v>0</v>
      </c>
      <c r="R133" s="2">
        <f t="shared" si="116"/>
        <v>0</v>
      </c>
      <c r="S133" s="2">
        <f t="shared" si="114"/>
        <v>0</v>
      </c>
      <c r="T133" s="24"/>
      <c r="U133" s="2">
        <f t="shared" si="112"/>
        <v>0</v>
      </c>
      <c r="W133" s="2">
        <f>D130*$C$38</f>
        <v>0</v>
      </c>
    </row>
    <row r="134" spans="2:23" x14ac:dyDescent="0.35">
      <c r="B134" s="100"/>
      <c r="C134" s="101"/>
      <c r="D134" s="103"/>
      <c r="E134" s="101"/>
      <c r="F134" s="3" t="s">
        <v>8</v>
      </c>
      <c r="G134" s="21"/>
      <c r="H134" s="21"/>
      <c r="I134" s="21"/>
      <c r="J134" s="21"/>
      <c r="K134" s="21"/>
      <c r="L134" s="21"/>
      <c r="M134" s="2">
        <f t="shared" ref="M134:R134" si="117">IF($C$25&gt;=M128-6,$C$29,0)*$E$130</f>
        <v>0</v>
      </c>
      <c r="N134" s="2">
        <f t="shared" si="117"/>
        <v>0</v>
      </c>
      <c r="O134" s="2">
        <f t="shared" si="117"/>
        <v>0</v>
      </c>
      <c r="P134" s="2">
        <f t="shared" si="117"/>
        <v>0</v>
      </c>
      <c r="Q134" s="2">
        <f t="shared" si="117"/>
        <v>0</v>
      </c>
      <c r="R134" s="2">
        <f t="shared" si="117"/>
        <v>0</v>
      </c>
      <c r="S134" s="2">
        <f t="shared" si="114"/>
        <v>0</v>
      </c>
      <c r="T134" s="24"/>
      <c r="U134" s="2">
        <f t="shared" si="112"/>
        <v>0</v>
      </c>
      <c r="W134" s="2">
        <f>E130*$C$37</f>
        <v>0</v>
      </c>
    </row>
    <row r="135" spans="2:23" x14ac:dyDescent="0.35">
      <c r="B135" s="100"/>
      <c r="C135" s="101"/>
      <c r="D135" s="103"/>
      <c r="E135" s="101"/>
      <c r="F135" s="3" t="s">
        <v>9</v>
      </c>
      <c r="G135" s="21"/>
      <c r="H135" s="21"/>
      <c r="I135" s="21"/>
      <c r="J135" s="21"/>
      <c r="K135" s="21"/>
      <c r="L135" s="21"/>
      <c r="M135" s="2">
        <f t="shared" ref="M135:R135" si="118">IF($C$25+7=M128,$C$38,0)*$E$130</f>
        <v>0</v>
      </c>
      <c r="N135" s="2">
        <f t="shared" si="118"/>
        <v>0</v>
      </c>
      <c r="O135" s="2">
        <f t="shared" si="118"/>
        <v>0</v>
      </c>
      <c r="P135" s="2">
        <f t="shared" si="118"/>
        <v>0</v>
      </c>
      <c r="Q135" s="2">
        <f t="shared" si="118"/>
        <v>0</v>
      </c>
      <c r="R135" s="2">
        <f t="shared" si="118"/>
        <v>0</v>
      </c>
      <c r="S135" s="2">
        <f t="shared" si="114"/>
        <v>0</v>
      </c>
      <c r="T135" s="24"/>
      <c r="U135" s="2">
        <f t="shared" si="112"/>
        <v>0</v>
      </c>
      <c r="W135" s="2">
        <f>E130*$C$38</f>
        <v>0</v>
      </c>
    </row>
    <row r="136" spans="2:23" x14ac:dyDescent="0.35">
      <c r="B136" s="100"/>
      <c r="C136" s="101"/>
      <c r="D136" s="103"/>
      <c r="E136" s="101"/>
      <c r="F136" s="3" t="s">
        <v>14</v>
      </c>
      <c r="G136" s="18"/>
      <c r="H136" s="18"/>
      <c r="I136" s="21"/>
      <c r="J136" s="22"/>
      <c r="K136" s="22"/>
      <c r="L136" s="22"/>
      <c r="M136" s="22"/>
      <c r="N136" s="22"/>
      <c r="O136" s="2">
        <f>(C130+D130)*$C$30/2</f>
        <v>0</v>
      </c>
      <c r="P136" s="18"/>
      <c r="Q136" s="18"/>
      <c r="R136" s="18"/>
      <c r="S136" s="2">
        <f t="shared" si="114"/>
        <v>0</v>
      </c>
      <c r="T136" s="20"/>
      <c r="U136" s="2">
        <f>(C130+D130)*$C$30/2</f>
        <v>0</v>
      </c>
      <c r="W136" s="2">
        <f>(C130+D130)*$C$30</f>
        <v>0</v>
      </c>
    </row>
    <row r="137" spans="2:23" x14ac:dyDescent="0.35">
      <c r="B137" s="100"/>
      <c r="C137" s="101"/>
      <c r="D137" s="103"/>
      <c r="E137" s="101"/>
      <c r="F137" s="3" t="s">
        <v>15</v>
      </c>
      <c r="G137" s="18"/>
      <c r="H137" s="18"/>
      <c r="I137" s="21"/>
      <c r="J137" s="22"/>
      <c r="K137" s="22"/>
      <c r="L137" s="22"/>
      <c r="M137" s="22"/>
      <c r="N137" s="22"/>
      <c r="O137" s="2">
        <f>(C130+D130)*$C$31/2</f>
        <v>0</v>
      </c>
      <c r="P137" s="18"/>
      <c r="Q137" s="18"/>
      <c r="R137" s="18"/>
      <c r="S137" s="2">
        <f t="shared" si="114"/>
        <v>0</v>
      </c>
      <c r="T137" s="20"/>
      <c r="U137" s="2">
        <f>(C130+D130)*$C$31/2</f>
        <v>0</v>
      </c>
      <c r="W137" s="2">
        <f>(C130+D130)*$C$31</f>
        <v>0</v>
      </c>
    </row>
    <row r="138" spans="2:23" x14ac:dyDescent="0.35">
      <c r="B138" s="100"/>
      <c r="C138" s="101"/>
      <c r="D138" s="103"/>
      <c r="E138" s="101"/>
      <c r="F138" s="3" t="s">
        <v>22</v>
      </c>
      <c r="G138" s="21"/>
      <c r="H138" s="21"/>
      <c r="I138" s="21"/>
      <c r="J138" s="21"/>
      <c r="K138" s="21"/>
      <c r="L138" s="21"/>
      <c r="M138" s="2">
        <f t="shared" ref="M138:R138" si="119">IF($C$25&gt;=M128-6,$C$33,0)*($C$130+$D$130)</f>
        <v>0</v>
      </c>
      <c r="N138" s="2">
        <f t="shared" si="119"/>
        <v>0</v>
      </c>
      <c r="O138" s="2">
        <f t="shared" si="119"/>
        <v>0</v>
      </c>
      <c r="P138" s="2">
        <f t="shared" si="119"/>
        <v>0</v>
      </c>
      <c r="Q138" s="2">
        <f t="shared" si="119"/>
        <v>0</v>
      </c>
      <c r="R138" s="2">
        <f t="shared" si="119"/>
        <v>0</v>
      </c>
      <c r="S138" s="2">
        <f t="shared" si="114"/>
        <v>0</v>
      </c>
      <c r="T138" s="20"/>
      <c r="U138" s="19">
        <f>W138-S138</f>
        <v>0</v>
      </c>
      <c r="W138" s="2">
        <f>(C130+D130)*($C$32*0.8)</f>
        <v>0</v>
      </c>
    </row>
    <row r="139" spans="2:23" x14ac:dyDescent="0.35">
      <c r="B139" s="100"/>
      <c r="C139" s="101"/>
      <c r="D139" s="104"/>
      <c r="E139" s="101"/>
      <c r="F139" s="3" t="s">
        <v>23</v>
      </c>
      <c r="G139" s="21"/>
      <c r="H139" s="21"/>
      <c r="I139" s="21"/>
      <c r="J139" s="21"/>
      <c r="K139" s="21"/>
      <c r="L139" s="21"/>
      <c r="M139" s="2">
        <f t="shared" ref="M139:R139" si="120">IF($C$25+1=M128-6,$C$34,0)*($C$130+$D$130)</f>
        <v>0</v>
      </c>
      <c r="N139" s="2">
        <f t="shared" si="120"/>
        <v>0</v>
      </c>
      <c r="O139" s="2">
        <f t="shared" si="120"/>
        <v>0</v>
      </c>
      <c r="P139" s="2">
        <f t="shared" si="120"/>
        <v>0</v>
      </c>
      <c r="Q139" s="2">
        <f t="shared" si="120"/>
        <v>0</v>
      </c>
      <c r="R139" s="2">
        <f t="shared" si="120"/>
        <v>0</v>
      </c>
      <c r="S139" s="2">
        <f t="shared" si="114"/>
        <v>0</v>
      </c>
      <c r="T139" s="20"/>
      <c r="U139" s="2">
        <f>W139-S139</f>
        <v>0</v>
      </c>
      <c r="V139" s="20"/>
      <c r="W139" s="2">
        <f>(C130+D130)*$C$34</f>
        <v>0</v>
      </c>
    </row>
    <row r="141" spans="2:23" x14ac:dyDescent="0.35">
      <c r="F141" s="6" t="s">
        <v>18</v>
      </c>
      <c r="G141" s="6">
        <v>1</v>
      </c>
      <c r="H141" s="6">
        <v>2</v>
      </c>
      <c r="I141" s="6">
        <v>3</v>
      </c>
      <c r="J141" s="6">
        <v>4</v>
      </c>
      <c r="K141" s="6">
        <v>5</v>
      </c>
      <c r="L141" s="6">
        <v>6</v>
      </c>
      <c r="M141" s="6">
        <v>7</v>
      </c>
      <c r="N141" s="6">
        <v>8</v>
      </c>
      <c r="O141" s="6">
        <v>9</v>
      </c>
      <c r="P141" s="6">
        <v>10</v>
      </c>
      <c r="Q141" s="6">
        <v>11</v>
      </c>
      <c r="R141" s="6">
        <v>12</v>
      </c>
    </row>
    <row r="142" spans="2:23" ht="37.5" x14ac:dyDescent="0.35">
      <c r="B142" s="8" t="s">
        <v>17</v>
      </c>
      <c r="C142" s="8" t="s">
        <v>10</v>
      </c>
      <c r="D142" s="8" t="s">
        <v>11</v>
      </c>
      <c r="E142" s="8" t="s">
        <v>12</v>
      </c>
      <c r="F142" s="17"/>
      <c r="G142" s="60">
        <v>43313</v>
      </c>
      <c r="H142" s="60">
        <v>43344</v>
      </c>
      <c r="I142" s="60">
        <v>43374</v>
      </c>
      <c r="J142" s="60">
        <v>43405</v>
      </c>
      <c r="K142" s="60">
        <v>43435</v>
      </c>
      <c r="L142" s="60">
        <v>43466</v>
      </c>
      <c r="M142" s="60">
        <v>43497</v>
      </c>
      <c r="N142" s="60">
        <v>43525</v>
      </c>
      <c r="O142" s="60">
        <v>43556</v>
      </c>
      <c r="P142" s="60">
        <v>43586</v>
      </c>
      <c r="Q142" s="60">
        <v>43617</v>
      </c>
      <c r="R142" s="60">
        <v>43647</v>
      </c>
      <c r="S142" s="59" t="s">
        <v>16</v>
      </c>
      <c r="T142" s="20"/>
      <c r="U142" s="8" t="s">
        <v>56</v>
      </c>
      <c r="W142" s="8" t="s">
        <v>16</v>
      </c>
    </row>
    <row r="143" spans="2:23" x14ac:dyDescent="0.35">
      <c r="B143" s="100">
        <v>43525</v>
      </c>
      <c r="C143" s="101">
        <f>N22</f>
        <v>0</v>
      </c>
      <c r="D143" s="102">
        <f>N23</f>
        <v>0</v>
      </c>
      <c r="E143" s="101">
        <f>N25</f>
        <v>0</v>
      </c>
      <c r="F143" s="3" t="s">
        <v>4</v>
      </c>
      <c r="G143" s="21"/>
      <c r="H143" s="21"/>
      <c r="I143" s="21"/>
      <c r="J143" s="21"/>
      <c r="K143" s="21"/>
      <c r="L143" s="21"/>
      <c r="M143" s="21"/>
      <c r="N143" s="2">
        <f>IF($C$25&gt;=N141-7,$C$28,0)*$C$143</f>
        <v>0</v>
      </c>
      <c r="O143" s="2">
        <f>IF($C$25&gt;=O141-7,$C$28,0)*$C$143</f>
        <v>0</v>
      </c>
      <c r="P143" s="2">
        <f>IF($C$25&gt;=P141-7,$C$28,0)*$C$143</f>
        <v>0</v>
      </c>
      <c r="Q143" s="2">
        <f>IF($C$25&gt;=Q141-7,$C$28,0)*$C$143</f>
        <v>0</v>
      </c>
      <c r="R143" s="2">
        <f>IF($C$25&gt;=R141-7,$C$28,0)*$C$143</f>
        <v>0</v>
      </c>
      <c r="S143" s="2">
        <f>SUM(G143:R143)</f>
        <v>0</v>
      </c>
      <c r="T143" s="20"/>
      <c r="U143" s="2">
        <f t="shared" ref="U143:U148" si="121">W143-S143</f>
        <v>0</v>
      </c>
      <c r="W143" s="2">
        <f>C143*$C$35</f>
        <v>0</v>
      </c>
    </row>
    <row r="144" spans="2:23" x14ac:dyDescent="0.35">
      <c r="B144" s="100"/>
      <c r="C144" s="101"/>
      <c r="D144" s="103"/>
      <c r="E144" s="101"/>
      <c r="F144" s="3" t="s">
        <v>5</v>
      </c>
      <c r="G144" s="21"/>
      <c r="H144" s="21"/>
      <c r="I144" s="21"/>
      <c r="J144" s="21"/>
      <c r="K144" s="21"/>
      <c r="L144" s="21"/>
      <c r="M144" s="21"/>
      <c r="N144" s="2">
        <f>IF($C$25+8=N141,$C$36,0)*$C$143</f>
        <v>0</v>
      </c>
      <c r="O144" s="2">
        <f>IF($C$25+8=O141,$C$36,0)*$C$143</f>
        <v>0</v>
      </c>
      <c r="P144" s="2">
        <f>IF($C$25+8=P141,$C$36,0)*$C$143</f>
        <v>0</v>
      </c>
      <c r="Q144" s="2">
        <f>IF($C$25+8=Q141,$C$36,0)*$C$143</f>
        <v>0</v>
      </c>
      <c r="R144" s="2">
        <f>IF($C$25+8=R141,$C$36,0)*$C$143</f>
        <v>0</v>
      </c>
      <c r="S144" s="2">
        <f t="shared" ref="S144:S152" si="122">SUM(G144:R144)</f>
        <v>0</v>
      </c>
      <c r="T144" s="24"/>
      <c r="U144" s="2">
        <f t="shared" si="121"/>
        <v>0</v>
      </c>
      <c r="W144" s="2">
        <f>C143*$C$36</f>
        <v>0</v>
      </c>
    </row>
    <row r="145" spans="2:23" x14ac:dyDescent="0.35">
      <c r="B145" s="100"/>
      <c r="C145" s="101"/>
      <c r="D145" s="103"/>
      <c r="E145" s="101"/>
      <c r="F145" s="3" t="s">
        <v>6</v>
      </c>
      <c r="G145" s="21"/>
      <c r="H145" s="21"/>
      <c r="I145" s="21"/>
      <c r="J145" s="21"/>
      <c r="K145" s="21"/>
      <c r="L145" s="21"/>
      <c r="M145" s="21"/>
      <c r="N145" s="2">
        <f>IF($C$25&gt;=N141-7,$C$29,0)*$D$143</f>
        <v>0</v>
      </c>
      <c r="O145" s="2">
        <f>IF($C$25&gt;=O141-7,$C$29,0)*$D$143</f>
        <v>0</v>
      </c>
      <c r="P145" s="2">
        <f>IF($C$25&gt;=P141-7,$C$29,0)*$D$143</f>
        <v>0</v>
      </c>
      <c r="Q145" s="2">
        <f>IF($C$25&gt;=Q141-7,$C$29,0)*$D$143</f>
        <v>0</v>
      </c>
      <c r="R145" s="2">
        <f>IF($C$25&gt;=R141-7,$C$29,0)*$D$143</f>
        <v>0</v>
      </c>
      <c r="S145" s="2">
        <f t="shared" si="122"/>
        <v>0</v>
      </c>
      <c r="T145" s="24"/>
      <c r="U145" s="2">
        <f t="shared" si="121"/>
        <v>0</v>
      </c>
      <c r="W145" s="2">
        <f>D143*$C$37</f>
        <v>0</v>
      </c>
    </row>
    <row r="146" spans="2:23" x14ac:dyDescent="0.35">
      <c r="B146" s="100"/>
      <c r="C146" s="101"/>
      <c r="D146" s="103"/>
      <c r="E146" s="101"/>
      <c r="F146" s="3" t="s">
        <v>7</v>
      </c>
      <c r="G146" s="21"/>
      <c r="H146" s="21"/>
      <c r="I146" s="21"/>
      <c r="J146" s="21"/>
      <c r="K146" s="21"/>
      <c r="L146" s="21"/>
      <c r="M146" s="21"/>
      <c r="N146" s="2">
        <f>IF($C$25+8=N141,$C$38,0)*$D$143</f>
        <v>0</v>
      </c>
      <c r="O146" s="2">
        <f>IF($C$25+8=O141,$C$38,0)*$D$143</f>
        <v>0</v>
      </c>
      <c r="P146" s="2">
        <f>IF($C$25+8=P141,$C$38,0)*$D$143</f>
        <v>0</v>
      </c>
      <c r="Q146" s="2">
        <f>IF($C$25+8=Q141,$C$38,0)*$D$143</f>
        <v>0</v>
      </c>
      <c r="R146" s="2">
        <f>IF($C$25+8=R141,$C$38,0)*$D$143</f>
        <v>0</v>
      </c>
      <c r="S146" s="2">
        <f t="shared" si="122"/>
        <v>0</v>
      </c>
      <c r="T146" s="24"/>
      <c r="U146" s="2">
        <f t="shared" si="121"/>
        <v>0</v>
      </c>
      <c r="W146" s="2">
        <f>D143*$C$38</f>
        <v>0</v>
      </c>
    </row>
    <row r="147" spans="2:23" x14ac:dyDescent="0.35">
      <c r="B147" s="100"/>
      <c r="C147" s="101"/>
      <c r="D147" s="103"/>
      <c r="E147" s="101"/>
      <c r="F147" s="3" t="s">
        <v>8</v>
      </c>
      <c r="G147" s="21"/>
      <c r="H147" s="21"/>
      <c r="I147" s="21"/>
      <c r="J147" s="21"/>
      <c r="K147" s="21"/>
      <c r="L147" s="21"/>
      <c r="M147" s="21"/>
      <c r="N147" s="2">
        <f>IF($C$25&gt;=N141-7,$C$29,0)*$E$143</f>
        <v>0</v>
      </c>
      <c r="O147" s="2">
        <f>IF($C$25&gt;=O141-7,$C$29,0)*$E$143</f>
        <v>0</v>
      </c>
      <c r="P147" s="2">
        <f>IF($C$25&gt;=P141-7,$C$29,0)*$E$143</f>
        <v>0</v>
      </c>
      <c r="Q147" s="2">
        <f>IF($C$25&gt;=Q141-7,$C$29,0)*$E$143</f>
        <v>0</v>
      </c>
      <c r="R147" s="2">
        <f>IF($C$25&gt;=R141-7,$C$29,0)*$E$143</f>
        <v>0</v>
      </c>
      <c r="S147" s="2">
        <f>SUM(G147:R147)</f>
        <v>0</v>
      </c>
      <c r="T147" s="24"/>
      <c r="U147" s="2">
        <f t="shared" si="121"/>
        <v>0</v>
      </c>
      <c r="W147" s="2">
        <f>E143*$C$37</f>
        <v>0</v>
      </c>
    </row>
    <row r="148" spans="2:23" x14ac:dyDescent="0.35">
      <c r="B148" s="100"/>
      <c r="C148" s="101"/>
      <c r="D148" s="103"/>
      <c r="E148" s="101"/>
      <c r="F148" s="3" t="s">
        <v>9</v>
      </c>
      <c r="G148" s="21"/>
      <c r="H148" s="21"/>
      <c r="I148" s="21"/>
      <c r="J148" s="21"/>
      <c r="K148" s="21"/>
      <c r="L148" s="21"/>
      <c r="M148" s="21"/>
      <c r="N148" s="2">
        <f>IF($C$25+8=N141,$C$38,0)*$E$143</f>
        <v>0</v>
      </c>
      <c r="O148" s="2">
        <f>IF($C$25+8=O141,$C$38,0)*$E$143</f>
        <v>0</v>
      </c>
      <c r="P148" s="2">
        <f>IF($C$25+8=P141,$C$38,0)*$E$143</f>
        <v>0</v>
      </c>
      <c r="Q148" s="2">
        <f>IF($C$25+8=Q141,$C$38,0)*$E$143</f>
        <v>0</v>
      </c>
      <c r="R148" s="2">
        <f>IF($C$25+8=R141,$C$38,0)*$E$143</f>
        <v>0</v>
      </c>
      <c r="S148" s="2">
        <f t="shared" si="122"/>
        <v>0</v>
      </c>
      <c r="T148" s="24"/>
      <c r="U148" s="2">
        <f t="shared" si="121"/>
        <v>0</v>
      </c>
      <c r="W148" s="2">
        <f>E143*$C$38</f>
        <v>0</v>
      </c>
    </row>
    <row r="149" spans="2:23" x14ac:dyDescent="0.35">
      <c r="B149" s="100"/>
      <c r="C149" s="101"/>
      <c r="D149" s="103"/>
      <c r="E149" s="101"/>
      <c r="F149" s="3" t="s">
        <v>14</v>
      </c>
      <c r="G149" s="18"/>
      <c r="H149" s="18"/>
      <c r="I149" s="21"/>
      <c r="J149" s="22"/>
      <c r="K149" s="22"/>
      <c r="L149" s="22"/>
      <c r="M149" s="22"/>
      <c r="N149" s="22"/>
      <c r="O149" s="22"/>
      <c r="P149" s="2">
        <f>(C143+D143)*$C$30/2</f>
        <v>0</v>
      </c>
      <c r="Q149" s="18"/>
      <c r="R149" s="18"/>
      <c r="S149" s="2">
        <f t="shared" si="122"/>
        <v>0</v>
      </c>
      <c r="T149" s="20"/>
      <c r="U149" s="2">
        <f>(C143+D143)*$C$30/2</f>
        <v>0</v>
      </c>
      <c r="W149" s="2">
        <f>(C143+D143)*$C$30</f>
        <v>0</v>
      </c>
    </row>
    <row r="150" spans="2:23" x14ac:dyDescent="0.35">
      <c r="B150" s="100"/>
      <c r="C150" s="101"/>
      <c r="D150" s="103"/>
      <c r="E150" s="101"/>
      <c r="F150" s="3" t="s">
        <v>15</v>
      </c>
      <c r="G150" s="18"/>
      <c r="H150" s="18"/>
      <c r="I150" s="21"/>
      <c r="J150" s="22"/>
      <c r="K150" s="22"/>
      <c r="L150" s="22"/>
      <c r="M150" s="22"/>
      <c r="N150" s="22"/>
      <c r="O150" s="22"/>
      <c r="P150" s="2">
        <f>(C143+D143)*$C$31/2</f>
        <v>0</v>
      </c>
      <c r="Q150" s="18"/>
      <c r="R150" s="18"/>
      <c r="S150" s="2">
        <f t="shared" si="122"/>
        <v>0</v>
      </c>
      <c r="T150" s="20"/>
      <c r="U150" s="2">
        <f>(C143+D143)*$C$31/2</f>
        <v>0</v>
      </c>
      <c r="W150" s="2">
        <f>(C143+D143)*$C$31</f>
        <v>0</v>
      </c>
    </row>
    <row r="151" spans="2:23" x14ac:dyDescent="0.35">
      <c r="B151" s="100"/>
      <c r="C151" s="101"/>
      <c r="D151" s="103"/>
      <c r="E151" s="101"/>
      <c r="F151" s="3" t="s">
        <v>22</v>
      </c>
      <c r="G151" s="21"/>
      <c r="H151" s="21"/>
      <c r="I151" s="21"/>
      <c r="J151" s="21"/>
      <c r="K151" s="21"/>
      <c r="L151" s="21"/>
      <c r="M151" s="21"/>
      <c r="N151" s="2">
        <f>IF($C$25&gt;=N141-7,$C$33,0)*($C$143+$D$143)</f>
        <v>0</v>
      </c>
      <c r="O151" s="2">
        <f>IF($C$25&gt;=O141-7,$C$33,0)*($C$143+$D$143)</f>
        <v>0</v>
      </c>
      <c r="P151" s="2">
        <f>IF($C$25&gt;=P141-7,$C$33,0)*($C$143+$D$143)</f>
        <v>0</v>
      </c>
      <c r="Q151" s="2">
        <f>IF($C$25&gt;=Q141-7,$C$33,0)*($C$143+$D$143)</f>
        <v>0</v>
      </c>
      <c r="R151" s="2">
        <f>IF($C$25&gt;=R141-7,$C$33,0)*($C$143+$D$143)</f>
        <v>0</v>
      </c>
      <c r="S151" s="2">
        <f t="shared" si="122"/>
        <v>0</v>
      </c>
      <c r="T151" s="20"/>
      <c r="U151" s="19">
        <f>W151-S151</f>
        <v>0</v>
      </c>
      <c r="W151" s="2">
        <f>(C143+D143)*($C$32*0.8)</f>
        <v>0</v>
      </c>
    </row>
    <row r="152" spans="2:23" x14ac:dyDescent="0.35">
      <c r="B152" s="100"/>
      <c r="C152" s="101"/>
      <c r="D152" s="104"/>
      <c r="E152" s="101"/>
      <c r="F152" s="3" t="s">
        <v>23</v>
      </c>
      <c r="G152" s="21"/>
      <c r="H152" s="21"/>
      <c r="I152" s="21"/>
      <c r="J152" s="21"/>
      <c r="K152" s="21"/>
      <c r="L152" s="21"/>
      <c r="M152" s="21"/>
      <c r="N152" s="2">
        <f>IF($C$25+1=N141-7,$C$34,0)*($C$143+$D$143)</f>
        <v>0</v>
      </c>
      <c r="O152" s="2">
        <f>IF($C$25+1=O141-7,$C$34,0)*($C$143+$D$143)</f>
        <v>0</v>
      </c>
      <c r="P152" s="2">
        <f>IF($C$25+1=P141-7,$C$34,0)*($C$143+$D$143)</f>
        <v>0</v>
      </c>
      <c r="Q152" s="2">
        <f>IF($C$25+1=Q141-7,$C$34,0)*($C$143+$D$143)</f>
        <v>0</v>
      </c>
      <c r="R152" s="2">
        <f>IF($C$25+1=R141-7,$C$34,0)*($C$143+$D$143)</f>
        <v>0</v>
      </c>
      <c r="S152" s="2">
        <f t="shared" si="122"/>
        <v>0</v>
      </c>
      <c r="T152" s="20"/>
      <c r="U152" s="2">
        <f>W152-S152</f>
        <v>0</v>
      </c>
      <c r="V152" s="20"/>
      <c r="W152" s="2">
        <f>(C143+D143)*$C$34</f>
        <v>0</v>
      </c>
    </row>
    <row r="154" spans="2:23" x14ac:dyDescent="0.35">
      <c r="F154" s="6" t="s">
        <v>18</v>
      </c>
      <c r="G154" s="6">
        <v>1</v>
      </c>
      <c r="H154" s="6">
        <v>2</v>
      </c>
      <c r="I154" s="6">
        <v>3</v>
      </c>
      <c r="J154" s="6">
        <v>4</v>
      </c>
      <c r="K154" s="6">
        <v>5</v>
      </c>
      <c r="L154" s="6">
        <v>6</v>
      </c>
      <c r="M154" s="6">
        <v>7</v>
      </c>
      <c r="N154" s="6">
        <v>8</v>
      </c>
      <c r="O154" s="6">
        <v>9</v>
      </c>
      <c r="P154" s="6">
        <v>10</v>
      </c>
      <c r="Q154" s="6">
        <v>11</v>
      </c>
      <c r="R154" s="6">
        <v>12</v>
      </c>
    </row>
    <row r="155" spans="2:23" ht="37.5" x14ac:dyDescent="0.35">
      <c r="B155" s="8" t="s">
        <v>17</v>
      </c>
      <c r="C155" s="8" t="s">
        <v>10</v>
      </c>
      <c r="D155" s="8" t="s">
        <v>11</v>
      </c>
      <c r="E155" s="8" t="s">
        <v>12</v>
      </c>
      <c r="F155" s="17"/>
      <c r="G155" s="60">
        <v>43313</v>
      </c>
      <c r="H155" s="60">
        <v>43344</v>
      </c>
      <c r="I155" s="60">
        <v>43374</v>
      </c>
      <c r="J155" s="60">
        <v>43405</v>
      </c>
      <c r="K155" s="60">
        <v>43435</v>
      </c>
      <c r="L155" s="60">
        <v>43466</v>
      </c>
      <c r="M155" s="60">
        <v>43497</v>
      </c>
      <c r="N155" s="60">
        <v>43525</v>
      </c>
      <c r="O155" s="60">
        <v>43556</v>
      </c>
      <c r="P155" s="60">
        <v>43586</v>
      </c>
      <c r="Q155" s="60">
        <v>43617</v>
      </c>
      <c r="R155" s="60">
        <v>43647</v>
      </c>
      <c r="S155" s="59" t="s">
        <v>16</v>
      </c>
      <c r="T155" s="20"/>
      <c r="U155" s="8" t="s">
        <v>56</v>
      </c>
      <c r="W155" s="8" t="s">
        <v>16</v>
      </c>
    </row>
    <row r="156" spans="2:23" x14ac:dyDescent="0.35">
      <c r="B156" s="100">
        <v>43556</v>
      </c>
      <c r="C156" s="101">
        <f>O22</f>
        <v>0</v>
      </c>
      <c r="D156" s="102">
        <f>O23</f>
        <v>0</v>
      </c>
      <c r="E156" s="101">
        <f>O25</f>
        <v>0</v>
      </c>
      <c r="F156" s="3" t="s">
        <v>4</v>
      </c>
      <c r="G156" s="21"/>
      <c r="H156" s="21"/>
      <c r="I156" s="21"/>
      <c r="J156" s="21"/>
      <c r="K156" s="21"/>
      <c r="L156" s="21"/>
      <c r="M156" s="21"/>
      <c r="N156" s="21"/>
      <c r="O156" s="2">
        <f>IF($C$25&gt;=O154-8,$C$28,0)*$C$156</f>
        <v>0</v>
      </c>
      <c r="P156" s="2">
        <f>IF($C$25&gt;=P154-8,$C$28,0)*$C$156</f>
        <v>0</v>
      </c>
      <c r="Q156" s="2">
        <f>IF($C$25&gt;=Q154-8,$C$28,0)*$C$156</f>
        <v>0</v>
      </c>
      <c r="R156" s="2">
        <f>IF($C$25&gt;=R154-8,$C$28,0)*$C$156</f>
        <v>0</v>
      </c>
      <c r="S156" s="2">
        <f>SUM(G156:R156)</f>
        <v>0</v>
      </c>
      <c r="T156" s="20"/>
      <c r="U156" s="2">
        <f t="shared" ref="U156:U161" si="123">W156-S156</f>
        <v>0</v>
      </c>
      <c r="W156" s="2">
        <f>C156*$C$35</f>
        <v>0</v>
      </c>
    </row>
    <row r="157" spans="2:23" x14ac:dyDescent="0.35">
      <c r="B157" s="100"/>
      <c r="C157" s="101"/>
      <c r="D157" s="103"/>
      <c r="E157" s="101"/>
      <c r="F157" s="3" t="s">
        <v>5</v>
      </c>
      <c r="G157" s="21"/>
      <c r="H157" s="21"/>
      <c r="I157" s="21"/>
      <c r="J157" s="21"/>
      <c r="K157" s="21"/>
      <c r="L157" s="21"/>
      <c r="M157" s="21"/>
      <c r="N157" s="21"/>
      <c r="O157" s="2">
        <f>IF($C$25+9=O154,$C$36,0)*$C$156</f>
        <v>0</v>
      </c>
      <c r="P157" s="2">
        <f>IF($C$25+9=P154,$C$36,0)*$C$156</f>
        <v>0</v>
      </c>
      <c r="Q157" s="2">
        <f>IF($C$25+9=Q154,$C$36,0)*$C$156</f>
        <v>0</v>
      </c>
      <c r="R157" s="2">
        <f>IF($C$25+9=R154,$C$36,0)*$C$156</f>
        <v>0</v>
      </c>
      <c r="S157" s="2">
        <f t="shared" ref="S157:S165" si="124">SUM(G157:R157)</f>
        <v>0</v>
      </c>
      <c r="T157" s="24"/>
      <c r="U157" s="2">
        <f t="shared" si="123"/>
        <v>0</v>
      </c>
      <c r="W157" s="2">
        <f>C156*$C$36</f>
        <v>0</v>
      </c>
    </row>
    <row r="158" spans="2:23" x14ac:dyDescent="0.35">
      <c r="B158" s="100"/>
      <c r="C158" s="101"/>
      <c r="D158" s="103"/>
      <c r="E158" s="101"/>
      <c r="F158" s="3" t="s">
        <v>6</v>
      </c>
      <c r="G158" s="21"/>
      <c r="H158" s="21"/>
      <c r="I158" s="21"/>
      <c r="J158" s="21"/>
      <c r="K158" s="21"/>
      <c r="L158" s="21"/>
      <c r="M158" s="21"/>
      <c r="N158" s="21"/>
      <c r="O158" s="2">
        <f>IF($C$25&gt;=O154-8,$C$29,0)*$D$156</f>
        <v>0</v>
      </c>
      <c r="P158" s="2">
        <f>IF($C$25&gt;=P154-8,$C$29,0)*$D$156</f>
        <v>0</v>
      </c>
      <c r="Q158" s="2">
        <f>IF($C$25&gt;=Q154-8,$C$29,0)*$D$156</f>
        <v>0</v>
      </c>
      <c r="R158" s="2">
        <f>IF($C$25&gt;=R154-8,$C$29,0)*$D$156</f>
        <v>0</v>
      </c>
      <c r="S158" s="2">
        <f t="shared" si="124"/>
        <v>0</v>
      </c>
      <c r="T158" s="24"/>
      <c r="U158" s="2">
        <f t="shared" si="123"/>
        <v>0</v>
      </c>
      <c r="W158" s="2">
        <f>D156*$C$37</f>
        <v>0</v>
      </c>
    </row>
    <row r="159" spans="2:23" x14ac:dyDescent="0.35">
      <c r="B159" s="100"/>
      <c r="C159" s="101"/>
      <c r="D159" s="103"/>
      <c r="E159" s="101"/>
      <c r="F159" s="3" t="s">
        <v>7</v>
      </c>
      <c r="G159" s="21"/>
      <c r="H159" s="21"/>
      <c r="I159" s="21"/>
      <c r="J159" s="21"/>
      <c r="K159" s="21"/>
      <c r="L159" s="21"/>
      <c r="M159" s="21"/>
      <c r="N159" s="21"/>
      <c r="O159" s="2">
        <f>IF($C$25+9=O154,$C$38,0)*$D$156</f>
        <v>0</v>
      </c>
      <c r="P159" s="2">
        <f>IF($C$25+9=P154,$C$38,0)*$D$156</f>
        <v>0</v>
      </c>
      <c r="Q159" s="2">
        <f>IF($C$25+9=Q154,$C$38,0)*$D$156</f>
        <v>0</v>
      </c>
      <c r="R159" s="2">
        <f>IF($C$25+9=R154,$C$38,0)*$D$156</f>
        <v>0</v>
      </c>
      <c r="S159" s="2">
        <f t="shared" si="124"/>
        <v>0</v>
      </c>
      <c r="T159" s="24"/>
      <c r="U159" s="2">
        <f t="shared" si="123"/>
        <v>0</v>
      </c>
      <c r="W159" s="2">
        <f>D156*$C$38</f>
        <v>0</v>
      </c>
    </row>
    <row r="160" spans="2:23" x14ac:dyDescent="0.35">
      <c r="B160" s="100"/>
      <c r="C160" s="101"/>
      <c r="D160" s="103"/>
      <c r="E160" s="101"/>
      <c r="F160" s="3" t="s">
        <v>8</v>
      </c>
      <c r="G160" s="21"/>
      <c r="H160" s="21"/>
      <c r="I160" s="21"/>
      <c r="J160" s="21"/>
      <c r="K160" s="21"/>
      <c r="L160" s="21"/>
      <c r="M160" s="21"/>
      <c r="N160" s="21"/>
      <c r="O160" s="2">
        <f>IF($C$25&gt;=O154-8,$C$29,0)*$E$156</f>
        <v>0</v>
      </c>
      <c r="P160" s="2">
        <f>IF($C$25&gt;=P154-8,$C$29,0)*$E$156</f>
        <v>0</v>
      </c>
      <c r="Q160" s="2">
        <f>IF($C$25&gt;=Q154-8,$C$29,0)*$E$156</f>
        <v>0</v>
      </c>
      <c r="R160" s="2">
        <f>IF($C$25&gt;=R154-8,$C$29,0)*$E$156</f>
        <v>0</v>
      </c>
      <c r="S160" s="2">
        <f t="shared" si="124"/>
        <v>0</v>
      </c>
      <c r="T160" s="24"/>
      <c r="U160" s="2">
        <f t="shared" si="123"/>
        <v>0</v>
      </c>
      <c r="W160" s="2">
        <f>E156*$C$37</f>
        <v>0</v>
      </c>
    </row>
    <row r="161" spans="2:23" x14ac:dyDescent="0.35">
      <c r="B161" s="100"/>
      <c r="C161" s="101"/>
      <c r="D161" s="103"/>
      <c r="E161" s="101"/>
      <c r="F161" s="3" t="s">
        <v>9</v>
      </c>
      <c r="G161" s="21"/>
      <c r="H161" s="21"/>
      <c r="I161" s="21"/>
      <c r="J161" s="21"/>
      <c r="K161" s="21"/>
      <c r="L161" s="21"/>
      <c r="M161" s="21"/>
      <c r="N161" s="21"/>
      <c r="O161" s="2">
        <f>IF($C$25+9=O154,$C$38,0)*$E$156</f>
        <v>0</v>
      </c>
      <c r="P161" s="2">
        <f>IF($C$25+9=P154,$C$38,0)*$E$156</f>
        <v>0</v>
      </c>
      <c r="Q161" s="2">
        <f>IF($C$25+9=Q154,$C$38,0)*$E$156</f>
        <v>0</v>
      </c>
      <c r="R161" s="2">
        <f>IF($C$25+9=R154,$C$38,0)*$E$156</f>
        <v>0</v>
      </c>
      <c r="S161" s="2">
        <f t="shared" si="124"/>
        <v>0</v>
      </c>
      <c r="T161" s="24"/>
      <c r="U161" s="2">
        <f t="shared" si="123"/>
        <v>0</v>
      </c>
      <c r="W161" s="2">
        <f>E156*$C$38</f>
        <v>0</v>
      </c>
    </row>
    <row r="162" spans="2:23" x14ac:dyDescent="0.35">
      <c r="B162" s="100"/>
      <c r="C162" s="101"/>
      <c r="D162" s="103"/>
      <c r="E162" s="101"/>
      <c r="F162" s="3" t="s">
        <v>14</v>
      </c>
      <c r="G162" s="18"/>
      <c r="H162" s="18"/>
      <c r="I162" s="21"/>
      <c r="J162" s="22"/>
      <c r="K162" s="22"/>
      <c r="L162" s="22"/>
      <c r="M162" s="22"/>
      <c r="N162" s="22"/>
      <c r="O162" s="22"/>
      <c r="P162" s="22"/>
      <c r="Q162" s="2">
        <f>(C156+D156)*$C$30/2</f>
        <v>0</v>
      </c>
      <c r="R162" s="2">
        <f>(D156+E156)*$C$30/2</f>
        <v>0</v>
      </c>
      <c r="S162" s="2">
        <f t="shared" si="124"/>
        <v>0</v>
      </c>
      <c r="T162" s="20"/>
      <c r="U162" s="2">
        <f>(C156+D156)*$C$30/2</f>
        <v>0</v>
      </c>
      <c r="W162" s="2">
        <f>(C156+D156)*$C$30</f>
        <v>0</v>
      </c>
    </row>
    <row r="163" spans="2:23" x14ac:dyDescent="0.35">
      <c r="B163" s="100"/>
      <c r="C163" s="101"/>
      <c r="D163" s="103"/>
      <c r="E163" s="101"/>
      <c r="F163" s="3" t="s">
        <v>15</v>
      </c>
      <c r="G163" s="18"/>
      <c r="H163" s="18"/>
      <c r="I163" s="21"/>
      <c r="J163" s="22"/>
      <c r="K163" s="22"/>
      <c r="L163" s="22"/>
      <c r="M163" s="22"/>
      <c r="N163" s="22"/>
      <c r="O163" s="22"/>
      <c r="P163" s="22"/>
      <c r="Q163" s="2">
        <f>(C156+D156)*$C$31/2</f>
        <v>0</v>
      </c>
      <c r="R163" s="2">
        <f>(D156+E156)*$C$31/2</f>
        <v>0</v>
      </c>
      <c r="S163" s="2">
        <f t="shared" si="124"/>
        <v>0</v>
      </c>
      <c r="T163" s="20"/>
      <c r="U163" s="2">
        <f>(C156+D156)*$C$31/2</f>
        <v>0</v>
      </c>
      <c r="W163" s="2">
        <f>(C156+D156)*$C$31</f>
        <v>0</v>
      </c>
    </row>
    <row r="164" spans="2:23" x14ac:dyDescent="0.35">
      <c r="B164" s="100"/>
      <c r="C164" s="101"/>
      <c r="D164" s="103"/>
      <c r="E164" s="101"/>
      <c r="F164" s="3" t="s">
        <v>22</v>
      </c>
      <c r="G164" s="21"/>
      <c r="H164" s="21"/>
      <c r="I164" s="21"/>
      <c r="J164" s="21"/>
      <c r="K164" s="21"/>
      <c r="L164" s="21"/>
      <c r="M164" s="21"/>
      <c r="N164" s="21"/>
      <c r="O164" s="2">
        <f>IF($C$25&gt;=O154-8,$C$33,0)*($C$156+$D$156)</f>
        <v>0</v>
      </c>
      <c r="P164" s="2">
        <f>IF($C$25&gt;=P154-8,$C$33,0)*($C$156+$D$156)</f>
        <v>0</v>
      </c>
      <c r="Q164" s="2">
        <f>IF($C$25&gt;=Q154-8,$C$33,0)*($C$156+$D$156)</f>
        <v>0</v>
      </c>
      <c r="R164" s="2">
        <f>IF($C$25&gt;=R154-8,$C$33,0)*($C$156+$D$156)</f>
        <v>0</v>
      </c>
      <c r="S164" s="2">
        <f t="shared" si="124"/>
        <v>0</v>
      </c>
      <c r="T164" s="20"/>
      <c r="U164" s="19">
        <f>W164-S164</f>
        <v>0</v>
      </c>
      <c r="W164" s="2">
        <f>(C156+D156)*($C$32*0.8)</f>
        <v>0</v>
      </c>
    </row>
    <row r="165" spans="2:23" x14ac:dyDescent="0.35">
      <c r="B165" s="100"/>
      <c r="C165" s="101"/>
      <c r="D165" s="104"/>
      <c r="E165" s="101"/>
      <c r="F165" s="3" t="s">
        <v>23</v>
      </c>
      <c r="G165" s="21"/>
      <c r="H165" s="21"/>
      <c r="I165" s="21"/>
      <c r="J165" s="21"/>
      <c r="K165" s="21"/>
      <c r="L165" s="21"/>
      <c r="M165" s="21"/>
      <c r="N165" s="21"/>
      <c r="O165" s="2">
        <f>IF($C$25+1=O154-8,$C$34,0)*($C$156+$D$156)</f>
        <v>0</v>
      </c>
      <c r="P165" s="2">
        <f>IF($C$25+1=P154-8,$C$34,0)*($C$156+$D$156)</f>
        <v>0</v>
      </c>
      <c r="Q165" s="2">
        <f>IF($C$25+1=Q154-8,$C$34,0)*($C$156+$D$156)</f>
        <v>0</v>
      </c>
      <c r="R165" s="2">
        <f>IF($C$25+1=R154-8,$C$34,0)*($C$156+$D$156)</f>
        <v>0</v>
      </c>
      <c r="S165" s="2">
        <f t="shared" si="124"/>
        <v>0</v>
      </c>
      <c r="T165" s="20"/>
      <c r="U165" s="2">
        <f>W165-S165</f>
        <v>0</v>
      </c>
      <c r="V165" s="20"/>
      <c r="W165" s="2">
        <f>(C156+D156)*$C$34</f>
        <v>0</v>
      </c>
    </row>
    <row r="167" spans="2:23" x14ac:dyDescent="0.35">
      <c r="F167" s="6" t="s">
        <v>18</v>
      </c>
      <c r="G167" s="6">
        <v>1</v>
      </c>
      <c r="H167" s="6">
        <v>2</v>
      </c>
      <c r="I167" s="6">
        <v>3</v>
      </c>
      <c r="J167" s="6">
        <v>4</v>
      </c>
      <c r="K167" s="6">
        <v>5</v>
      </c>
      <c r="L167" s="6">
        <v>6</v>
      </c>
      <c r="M167" s="6">
        <v>7</v>
      </c>
      <c r="N167" s="6">
        <v>8</v>
      </c>
      <c r="O167" s="6">
        <v>9</v>
      </c>
      <c r="P167" s="6">
        <v>10</v>
      </c>
      <c r="Q167" s="6">
        <v>11</v>
      </c>
      <c r="R167" s="6">
        <v>12</v>
      </c>
    </row>
    <row r="168" spans="2:23" ht="37.5" x14ac:dyDescent="0.35">
      <c r="B168" s="8" t="s">
        <v>17</v>
      </c>
      <c r="C168" s="8" t="s">
        <v>10</v>
      </c>
      <c r="D168" s="8" t="s">
        <v>11</v>
      </c>
      <c r="E168" s="8" t="s">
        <v>12</v>
      </c>
      <c r="F168" s="17"/>
      <c r="G168" s="60">
        <v>43313</v>
      </c>
      <c r="H168" s="60">
        <v>43344</v>
      </c>
      <c r="I168" s="60">
        <v>43374</v>
      </c>
      <c r="J168" s="60">
        <v>43405</v>
      </c>
      <c r="K168" s="60">
        <v>43435</v>
      </c>
      <c r="L168" s="60">
        <v>43466</v>
      </c>
      <c r="M168" s="60">
        <v>43497</v>
      </c>
      <c r="N168" s="60">
        <v>43525</v>
      </c>
      <c r="O168" s="60">
        <v>43556</v>
      </c>
      <c r="P168" s="60">
        <v>43586</v>
      </c>
      <c r="Q168" s="60">
        <v>43617</v>
      </c>
      <c r="R168" s="60">
        <v>43647</v>
      </c>
      <c r="S168" s="59" t="s">
        <v>16</v>
      </c>
      <c r="T168" s="20"/>
      <c r="U168" s="8" t="s">
        <v>56</v>
      </c>
      <c r="W168" s="8" t="s">
        <v>16</v>
      </c>
    </row>
    <row r="169" spans="2:23" x14ac:dyDescent="0.35">
      <c r="B169" s="100">
        <v>43586</v>
      </c>
      <c r="C169" s="101">
        <f>P22</f>
        <v>0</v>
      </c>
      <c r="D169" s="102">
        <f>P23</f>
        <v>0</v>
      </c>
      <c r="E169" s="101">
        <f>P25</f>
        <v>0</v>
      </c>
      <c r="F169" s="3" t="s">
        <v>4</v>
      </c>
      <c r="G169" s="21"/>
      <c r="H169" s="21"/>
      <c r="I169" s="21"/>
      <c r="J169" s="21"/>
      <c r="K169" s="21"/>
      <c r="L169" s="21"/>
      <c r="M169" s="21"/>
      <c r="N169" s="21"/>
      <c r="O169" s="21"/>
      <c r="P169" s="2">
        <f>IF($C$25&gt;=P167-9,$C$28,0)*$C$169</f>
        <v>0</v>
      </c>
      <c r="Q169" s="2">
        <f>IF($C$25&gt;=Q167-9,$C$28,0)*$C$169</f>
        <v>0</v>
      </c>
      <c r="R169" s="2">
        <f>IF($C$25&gt;=R167-9,$C$28,0)*$C$169</f>
        <v>0</v>
      </c>
      <c r="S169" s="2">
        <f>SUM(G169:R169)</f>
        <v>0</v>
      </c>
      <c r="T169" s="20"/>
      <c r="U169" s="2">
        <f t="shared" ref="U169:U174" si="125">W169-S169</f>
        <v>0</v>
      </c>
      <c r="W169" s="2">
        <f>C169*$C$35</f>
        <v>0</v>
      </c>
    </row>
    <row r="170" spans="2:23" x14ac:dyDescent="0.35">
      <c r="B170" s="100"/>
      <c r="C170" s="101"/>
      <c r="D170" s="103"/>
      <c r="E170" s="101"/>
      <c r="F170" s="3" t="s">
        <v>5</v>
      </c>
      <c r="G170" s="21"/>
      <c r="H170" s="21"/>
      <c r="I170" s="21"/>
      <c r="J170" s="21"/>
      <c r="K170" s="21"/>
      <c r="L170" s="21"/>
      <c r="M170" s="21"/>
      <c r="N170" s="21"/>
      <c r="O170" s="21"/>
      <c r="P170" s="2">
        <f>IF($C$25+10=P167,$C$36,0)*$C$169</f>
        <v>0</v>
      </c>
      <c r="Q170" s="2">
        <f>IF($C$25+10=Q167,$C$36,0)*$C$169</f>
        <v>0</v>
      </c>
      <c r="R170" s="2">
        <f>IF($C$25+10=R167,$C$36,0)*$C$169</f>
        <v>0</v>
      </c>
      <c r="S170" s="2">
        <f t="shared" ref="S170:S178" si="126">SUM(G170:R170)</f>
        <v>0</v>
      </c>
      <c r="T170" s="24"/>
      <c r="U170" s="2">
        <f t="shared" si="125"/>
        <v>0</v>
      </c>
      <c r="W170" s="2">
        <f>C169*$C$36</f>
        <v>0</v>
      </c>
    </row>
    <row r="171" spans="2:23" x14ac:dyDescent="0.35">
      <c r="B171" s="100"/>
      <c r="C171" s="101"/>
      <c r="D171" s="103"/>
      <c r="E171" s="101"/>
      <c r="F171" s="3" t="s">
        <v>6</v>
      </c>
      <c r="G171" s="21"/>
      <c r="H171" s="21"/>
      <c r="I171" s="21"/>
      <c r="J171" s="21"/>
      <c r="K171" s="21"/>
      <c r="L171" s="21"/>
      <c r="M171" s="21"/>
      <c r="N171" s="21"/>
      <c r="O171" s="21"/>
      <c r="P171" s="2">
        <f>IF($C$25&gt;=P167-9,$C$29,0)*$D$169</f>
        <v>0</v>
      </c>
      <c r="Q171" s="2">
        <f>IF($C$25&gt;=Q167-9,$C$29,0)*$D$169</f>
        <v>0</v>
      </c>
      <c r="R171" s="2">
        <f>IF($C$25&gt;=R167-9,$C$29,0)*$D$169</f>
        <v>0</v>
      </c>
      <c r="S171" s="2">
        <f t="shared" si="126"/>
        <v>0</v>
      </c>
      <c r="T171" s="24"/>
      <c r="U171" s="2">
        <f t="shared" si="125"/>
        <v>0</v>
      </c>
      <c r="W171" s="2">
        <f>D169*$C$37</f>
        <v>0</v>
      </c>
    </row>
    <row r="172" spans="2:23" x14ac:dyDescent="0.35">
      <c r="B172" s="100"/>
      <c r="C172" s="101"/>
      <c r="D172" s="103"/>
      <c r="E172" s="101"/>
      <c r="F172" s="3" t="s">
        <v>7</v>
      </c>
      <c r="G172" s="21"/>
      <c r="H172" s="21"/>
      <c r="I172" s="21"/>
      <c r="J172" s="21"/>
      <c r="K172" s="21"/>
      <c r="L172" s="21"/>
      <c r="M172" s="21"/>
      <c r="N172" s="21"/>
      <c r="O172" s="21"/>
      <c r="P172" s="2">
        <f>IF($C$25+10=P167,$C$38,0)*$D$169</f>
        <v>0</v>
      </c>
      <c r="Q172" s="2">
        <f>IF($C$25+10=Q167,$C$38,0)*$D$169</f>
        <v>0</v>
      </c>
      <c r="R172" s="2">
        <f>IF($C$25+10=R167,$C$38,0)*$D$169</f>
        <v>0</v>
      </c>
      <c r="S172" s="2">
        <f t="shared" si="126"/>
        <v>0</v>
      </c>
      <c r="T172" s="24"/>
      <c r="U172" s="2">
        <f t="shared" si="125"/>
        <v>0</v>
      </c>
      <c r="W172" s="2">
        <f>D169*$C$38</f>
        <v>0</v>
      </c>
    </row>
    <row r="173" spans="2:23" x14ac:dyDescent="0.35">
      <c r="B173" s="100"/>
      <c r="C173" s="101"/>
      <c r="D173" s="103"/>
      <c r="E173" s="101"/>
      <c r="F173" s="3" t="s">
        <v>8</v>
      </c>
      <c r="G173" s="21"/>
      <c r="H173" s="21"/>
      <c r="I173" s="21"/>
      <c r="J173" s="21"/>
      <c r="K173" s="21"/>
      <c r="L173" s="21"/>
      <c r="M173" s="21"/>
      <c r="N173" s="21"/>
      <c r="O173" s="21"/>
      <c r="P173" s="2">
        <f>IF($C$25&gt;=P167-9,$C$29,0)*$E$169</f>
        <v>0</v>
      </c>
      <c r="Q173" s="2">
        <f>IF($C$25&gt;=Q167-9,$C$29,0)*$E$169</f>
        <v>0</v>
      </c>
      <c r="R173" s="2">
        <f>IF($C$25&gt;=R167-9,$C$29,0)*$E$169</f>
        <v>0</v>
      </c>
      <c r="S173" s="2">
        <f t="shared" si="126"/>
        <v>0</v>
      </c>
      <c r="T173" s="24"/>
      <c r="U173" s="2">
        <f t="shared" si="125"/>
        <v>0</v>
      </c>
      <c r="W173" s="2">
        <f>E169*$C$37</f>
        <v>0</v>
      </c>
    </row>
    <row r="174" spans="2:23" x14ac:dyDescent="0.35">
      <c r="B174" s="100"/>
      <c r="C174" s="101"/>
      <c r="D174" s="103"/>
      <c r="E174" s="101"/>
      <c r="F174" s="3" t="s">
        <v>9</v>
      </c>
      <c r="G174" s="21"/>
      <c r="H174" s="21"/>
      <c r="I174" s="21"/>
      <c r="J174" s="21"/>
      <c r="K174" s="21"/>
      <c r="L174" s="21"/>
      <c r="M174" s="21"/>
      <c r="N174" s="21"/>
      <c r="O174" s="21"/>
      <c r="P174" s="2">
        <f>IF($C$25+10=P167,$C$38,0)*$E$169</f>
        <v>0</v>
      </c>
      <c r="Q174" s="2">
        <f>IF($C$25+10=Q167,$C$38,0)*$E$169</f>
        <v>0</v>
      </c>
      <c r="R174" s="2">
        <f>IF($C$25+10=R167,$C$38,0)*$E$169</f>
        <v>0</v>
      </c>
      <c r="S174" s="2">
        <f t="shared" si="126"/>
        <v>0</v>
      </c>
      <c r="T174" s="24"/>
      <c r="U174" s="2">
        <f t="shared" si="125"/>
        <v>0</v>
      </c>
      <c r="W174" s="2">
        <f>E169*$C$38</f>
        <v>0</v>
      </c>
    </row>
    <row r="175" spans="2:23" x14ac:dyDescent="0.35">
      <c r="B175" s="100"/>
      <c r="C175" s="101"/>
      <c r="D175" s="103"/>
      <c r="E175" s="101"/>
      <c r="F175" s="3" t="s">
        <v>14</v>
      </c>
      <c r="G175" s="18"/>
      <c r="H175" s="18"/>
      <c r="I175" s="21"/>
      <c r="J175" s="22"/>
      <c r="K175" s="22"/>
      <c r="L175" s="22"/>
      <c r="M175" s="22"/>
      <c r="N175" s="22"/>
      <c r="O175" s="22"/>
      <c r="P175" s="22"/>
      <c r="Q175" s="22"/>
      <c r="R175" s="22"/>
      <c r="S175" s="2">
        <f t="shared" si="126"/>
        <v>0</v>
      </c>
      <c r="T175" s="20"/>
      <c r="U175" s="2">
        <f>(C169+D169)*$C$30/2</f>
        <v>0</v>
      </c>
      <c r="W175" s="2">
        <f>(C169+D169)*$C$30</f>
        <v>0</v>
      </c>
    </row>
    <row r="176" spans="2:23" x14ac:dyDescent="0.35">
      <c r="B176" s="100"/>
      <c r="C176" s="101"/>
      <c r="D176" s="103"/>
      <c r="E176" s="101"/>
      <c r="F176" s="3" t="s">
        <v>15</v>
      </c>
      <c r="G176" s="18"/>
      <c r="H176" s="18"/>
      <c r="I176" s="21"/>
      <c r="J176" s="22"/>
      <c r="K176" s="22"/>
      <c r="L176" s="22"/>
      <c r="M176" s="22"/>
      <c r="N176" s="22"/>
      <c r="O176" s="22"/>
      <c r="P176" s="22"/>
      <c r="Q176" s="22"/>
      <c r="R176" s="22"/>
      <c r="S176" s="2">
        <f t="shared" si="126"/>
        <v>0</v>
      </c>
      <c r="T176" s="20"/>
      <c r="U176" s="2">
        <f>(C169+D169)*$C$31/2</f>
        <v>0</v>
      </c>
      <c r="W176" s="2">
        <f>(C169+D169)*$C$31</f>
        <v>0</v>
      </c>
    </row>
    <row r="177" spans="2:23" x14ac:dyDescent="0.35">
      <c r="B177" s="100"/>
      <c r="C177" s="101"/>
      <c r="D177" s="103"/>
      <c r="E177" s="101"/>
      <c r="F177" s="3" t="s">
        <v>22</v>
      </c>
      <c r="G177" s="21"/>
      <c r="H177" s="21"/>
      <c r="I177" s="21"/>
      <c r="J177" s="21"/>
      <c r="K177" s="21"/>
      <c r="L177" s="21"/>
      <c r="M177" s="21"/>
      <c r="N177" s="21"/>
      <c r="O177" s="21"/>
      <c r="P177" s="2">
        <f>IF($C$25&gt;=P167-9,$C$33,0)*($C$169+$D$169)</f>
        <v>0</v>
      </c>
      <c r="Q177" s="2">
        <f>IF($C$25&gt;=Q167-9,$C$33,0)*($C$169+$D$169)</f>
        <v>0</v>
      </c>
      <c r="R177" s="2">
        <f>IF($C$25&gt;=R167-9,$C$33,0)*($C$169+$D$169)</f>
        <v>0</v>
      </c>
      <c r="S177" s="2">
        <f t="shared" si="126"/>
        <v>0</v>
      </c>
      <c r="T177" s="20"/>
      <c r="U177" s="19">
        <f>W177-S177</f>
        <v>0</v>
      </c>
      <c r="W177" s="2">
        <f>(C169+D169)*($C$32*0.8)</f>
        <v>0</v>
      </c>
    </row>
    <row r="178" spans="2:23" x14ac:dyDescent="0.35">
      <c r="B178" s="100"/>
      <c r="C178" s="101"/>
      <c r="D178" s="104"/>
      <c r="E178" s="101"/>
      <c r="F178" s="3" t="s">
        <v>23</v>
      </c>
      <c r="G178" s="21"/>
      <c r="H178" s="21"/>
      <c r="I178" s="21"/>
      <c r="J178" s="21"/>
      <c r="K178" s="21"/>
      <c r="L178" s="21"/>
      <c r="M178" s="21"/>
      <c r="N178" s="21"/>
      <c r="O178" s="21"/>
      <c r="P178" s="2">
        <f>IF($C$25+1=P167-9,$C$34,0)*($C$169+$D$169)</f>
        <v>0</v>
      </c>
      <c r="Q178" s="2">
        <f>IF($C$25+1=Q167-9,$C$34,0)*($C$169+$D$169)</f>
        <v>0</v>
      </c>
      <c r="R178" s="2">
        <f>IF($C$25+1=R167-9,$C$34,0)*($C$169+$D$169)</f>
        <v>0</v>
      </c>
      <c r="S178" s="2">
        <f t="shared" si="126"/>
        <v>0</v>
      </c>
      <c r="T178" s="20"/>
      <c r="U178" s="2">
        <f>W178-S178</f>
        <v>0</v>
      </c>
      <c r="V178" s="20"/>
      <c r="W178" s="2">
        <f>(C169+D169)*$C$34</f>
        <v>0</v>
      </c>
    </row>
    <row r="180" spans="2:23" x14ac:dyDescent="0.35">
      <c r="F180" s="6" t="s">
        <v>18</v>
      </c>
      <c r="G180" s="6">
        <v>1</v>
      </c>
      <c r="H180" s="6">
        <v>2</v>
      </c>
      <c r="I180" s="6">
        <v>3</v>
      </c>
      <c r="J180" s="6">
        <v>4</v>
      </c>
      <c r="K180" s="6">
        <v>5</v>
      </c>
      <c r="L180" s="6">
        <v>6</v>
      </c>
      <c r="M180" s="6">
        <v>7</v>
      </c>
      <c r="N180" s="6">
        <v>8</v>
      </c>
      <c r="O180" s="6">
        <v>9</v>
      </c>
      <c r="P180" s="6">
        <v>10</v>
      </c>
      <c r="Q180" s="6">
        <v>11</v>
      </c>
      <c r="R180" s="6">
        <v>12</v>
      </c>
    </row>
    <row r="181" spans="2:23" ht="37.5" x14ac:dyDescent="0.35">
      <c r="B181" s="8" t="s">
        <v>17</v>
      </c>
      <c r="C181" s="8" t="s">
        <v>10</v>
      </c>
      <c r="D181" s="8" t="s">
        <v>11</v>
      </c>
      <c r="E181" s="8" t="s">
        <v>12</v>
      </c>
      <c r="F181" s="17"/>
      <c r="G181" s="60">
        <v>43313</v>
      </c>
      <c r="H181" s="60">
        <v>43344</v>
      </c>
      <c r="I181" s="60">
        <v>43374</v>
      </c>
      <c r="J181" s="60">
        <v>43405</v>
      </c>
      <c r="K181" s="60">
        <v>43435</v>
      </c>
      <c r="L181" s="60">
        <v>43466</v>
      </c>
      <c r="M181" s="60">
        <v>43497</v>
      </c>
      <c r="N181" s="60">
        <v>43525</v>
      </c>
      <c r="O181" s="60">
        <v>43556</v>
      </c>
      <c r="P181" s="60">
        <v>43586</v>
      </c>
      <c r="Q181" s="60">
        <v>43617</v>
      </c>
      <c r="R181" s="60">
        <v>43647</v>
      </c>
      <c r="S181" s="59" t="s">
        <v>16</v>
      </c>
      <c r="T181" s="20"/>
      <c r="U181" s="8" t="s">
        <v>56</v>
      </c>
      <c r="W181" s="8" t="s">
        <v>16</v>
      </c>
    </row>
    <row r="182" spans="2:23" x14ac:dyDescent="0.35">
      <c r="B182" s="100">
        <v>43617</v>
      </c>
      <c r="C182" s="101">
        <f>Q22</f>
        <v>0</v>
      </c>
      <c r="D182" s="102">
        <f>Q23</f>
        <v>0</v>
      </c>
      <c r="E182" s="101">
        <f>Q25</f>
        <v>0</v>
      </c>
      <c r="F182" s="3" t="s">
        <v>4</v>
      </c>
      <c r="G182" s="21"/>
      <c r="H182" s="21"/>
      <c r="I182" s="21"/>
      <c r="J182" s="21"/>
      <c r="K182" s="21"/>
      <c r="L182" s="21"/>
      <c r="M182" s="21"/>
      <c r="N182" s="21"/>
      <c r="O182" s="21"/>
      <c r="P182" s="21"/>
      <c r="Q182" s="2">
        <f>IF($C$25&gt;=Q180-10,$C$28,0)*$C$182</f>
        <v>0</v>
      </c>
      <c r="R182" s="2">
        <f>IF($C$25&gt;=R180-10,$C$28,0)*$C$182</f>
        <v>0</v>
      </c>
      <c r="S182" s="2">
        <f>SUM(G182:R182)</f>
        <v>0</v>
      </c>
      <c r="T182" s="20"/>
      <c r="U182" s="2">
        <f t="shared" ref="U182:U187" si="127">W182-S182</f>
        <v>0</v>
      </c>
      <c r="W182" s="2">
        <f>C182*$C$35</f>
        <v>0</v>
      </c>
    </row>
    <row r="183" spans="2:23" x14ac:dyDescent="0.35">
      <c r="B183" s="100"/>
      <c r="C183" s="101"/>
      <c r="D183" s="103"/>
      <c r="E183" s="101"/>
      <c r="F183" s="3" t="s">
        <v>5</v>
      </c>
      <c r="G183" s="21"/>
      <c r="H183" s="21"/>
      <c r="I183" s="21"/>
      <c r="J183" s="21"/>
      <c r="K183" s="21"/>
      <c r="L183" s="21"/>
      <c r="M183" s="21"/>
      <c r="N183" s="21"/>
      <c r="O183" s="21"/>
      <c r="P183" s="21"/>
      <c r="Q183" s="2">
        <f>IF($C$25+11=Q180,$C$36,0)*$C$182</f>
        <v>0</v>
      </c>
      <c r="R183" s="2">
        <f>IF($C$25+11=R180,$C$36,0)*$C$182</f>
        <v>0</v>
      </c>
      <c r="S183" s="2">
        <f t="shared" ref="S183:S191" si="128">SUM(G183:R183)</f>
        <v>0</v>
      </c>
      <c r="T183" s="24"/>
      <c r="U183" s="2">
        <f t="shared" si="127"/>
        <v>0</v>
      </c>
      <c r="W183" s="2">
        <f>C182*$C$36</f>
        <v>0</v>
      </c>
    </row>
    <row r="184" spans="2:23" x14ac:dyDescent="0.35">
      <c r="B184" s="100"/>
      <c r="C184" s="101"/>
      <c r="D184" s="103"/>
      <c r="E184" s="101"/>
      <c r="F184" s="3" t="s">
        <v>6</v>
      </c>
      <c r="G184" s="21"/>
      <c r="H184" s="21"/>
      <c r="I184" s="21"/>
      <c r="J184" s="21"/>
      <c r="K184" s="21"/>
      <c r="L184" s="21"/>
      <c r="M184" s="21"/>
      <c r="N184" s="21"/>
      <c r="O184" s="21"/>
      <c r="P184" s="21"/>
      <c r="Q184" s="2">
        <f>IF($C$25&gt;=Q180-10,$C$29,0)*$D$182</f>
        <v>0</v>
      </c>
      <c r="R184" s="2">
        <f>IF($C$25&gt;=R180-10,$C$29,0)*$D$182</f>
        <v>0</v>
      </c>
      <c r="S184" s="2">
        <f t="shared" si="128"/>
        <v>0</v>
      </c>
      <c r="T184" s="24"/>
      <c r="U184" s="2">
        <f t="shared" si="127"/>
        <v>0</v>
      </c>
      <c r="W184" s="2">
        <f>D182*$C$37</f>
        <v>0</v>
      </c>
    </row>
    <row r="185" spans="2:23" x14ac:dyDescent="0.35">
      <c r="B185" s="100"/>
      <c r="C185" s="101"/>
      <c r="D185" s="103"/>
      <c r="E185" s="101"/>
      <c r="F185" s="3" t="s">
        <v>7</v>
      </c>
      <c r="G185" s="21"/>
      <c r="H185" s="21"/>
      <c r="I185" s="21"/>
      <c r="J185" s="21"/>
      <c r="K185" s="21"/>
      <c r="L185" s="21"/>
      <c r="M185" s="21"/>
      <c r="N185" s="21"/>
      <c r="O185" s="21"/>
      <c r="P185" s="21"/>
      <c r="Q185" s="2">
        <f>IF($C$25+11=Q180,$C$38,0)*$D$182</f>
        <v>0</v>
      </c>
      <c r="R185" s="2">
        <f>IF($C$25+11=R180,$C$38,0)*$D$182</f>
        <v>0</v>
      </c>
      <c r="S185" s="2">
        <f t="shared" si="128"/>
        <v>0</v>
      </c>
      <c r="T185" s="24"/>
      <c r="U185" s="2">
        <f t="shared" si="127"/>
        <v>0</v>
      </c>
      <c r="W185" s="2">
        <f>D182*$C$38</f>
        <v>0</v>
      </c>
    </row>
    <row r="186" spans="2:23" x14ac:dyDescent="0.35">
      <c r="B186" s="100"/>
      <c r="C186" s="101"/>
      <c r="D186" s="103"/>
      <c r="E186" s="101"/>
      <c r="F186" s="3" t="s">
        <v>8</v>
      </c>
      <c r="G186" s="21"/>
      <c r="H186" s="21"/>
      <c r="I186" s="21"/>
      <c r="J186" s="21"/>
      <c r="K186" s="21"/>
      <c r="L186" s="21"/>
      <c r="M186" s="21"/>
      <c r="N186" s="21"/>
      <c r="O186" s="21"/>
      <c r="P186" s="21"/>
      <c r="Q186" s="2">
        <f>IF($C$25&gt;=Q180-10,$C$29,0)*$E$182</f>
        <v>0</v>
      </c>
      <c r="R186" s="2">
        <f>IF($C$25&gt;=R180-10,$C$29,0)*$E$182</f>
        <v>0</v>
      </c>
      <c r="S186" s="2">
        <f t="shared" si="128"/>
        <v>0</v>
      </c>
      <c r="T186" s="24"/>
      <c r="U186" s="2">
        <f t="shared" si="127"/>
        <v>0</v>
      </c>
      <c r="W186" s="2">
        <f>E182*$C$37</f>
        <v>0</v>
      </c>
    </row>
    <row r="187" spans="2:23" x14ac:dyDescent="0.35">
      <c r="B187" s="100"/>
      <c r="C187" s="101"/>
      <c r="D187" s="103"/>
      <c r="E187" s="101"/>
      <c r="F187" s="3" t="s">
        <v>9</v>
      </c>
      <c r="G187" s="21"/>
      <c r="H187" s="21"/>
      <c r="I187" s="21"/>
      <c r="J187" s="21"/>
      <c r="K187" s="21"/>
      <c r="L187" s="21"/>
      <c r="M187" s="21"/>
      <c r="N187" s="21"/>
      <c r="O187" s="21"/>
      <c r="P187" s="21"/>
      <c r="Q187" s="2">
        <f>IF($C$25+11=Q180,$C$38,0)*$E$182</f>
        <v>0</v>
      </c>
      <c r="R187" s="2">
        <f>IF($C$25+11=R180,$C$38,0)*$E$182</f>
        <v>0</v>
      </c>
      <c r="S187" s="2">
        <f t="shared" si="128"/>
        <v>0</v>
      </c>
      <c r="T187" s="24"/>
      <c r="U187" s="2">
        <f t="shared" si="127"/>
        <v>0</v>
      </c>
      <c r="W187" s="2">
        <f>E182*$C$38</f>
        <v>0</v>
      </c>
    </row>
    <row r="188" spans="2:23" x14ac:dyDescent="0.35">
      <c r="B188" s="100"/>
      <c r="C188" s="101"/>
      <c r="D188" s="103"/>
      <c r="E188" s="101"/>
      <c r="F188" s="3" t="s">
        <v>14</v>
      </c>
      <c r="G188" s="18"/>
      <c r="H188" s="18"/>
      <c r="I188" s="21"/>
      <c r="J188" s="22"/>
      <c r="K188" s="22"/>
      <c r="L188" s="22"/>
      <c r="M188" s="22"/>
      <c r="N188" s="22"/>
      <c r="O188" s="22"/>
      <c r="P188" s="22"/>
      <c r="Q188" s="22"/>
      <c r="R188" s="22"/>
      <c r="S188" s="2">
        <f t="shared" si="128"/>
        <v>0</v>
      </c>
      <c r="T188" s="20"/>
      <c r="U188" s="2">
        <f>(C182+D182)*$C$30/2</f>
        <v>0</v>
      </c>
      <c r="W188" s="2">
        <f>(C182+D182)*$C$30</f>
        <v>0</v>
      </c>
    </row>
    <row r="189" spans="2:23" x14ac:dyDescent="0.35">
      <c r="B189" s="100"/>
      <c r="C189" s="101"/>
      <c r="D189" s="103"/>
      <c r="E189" s="101"/>
      <c r="F189" s="3" t="s">
        <v>15</v>
      </c>
      <c r="G189" s="18"/>
      <c r="H189" s="18"/>
      <c r="I189" s="21"/>
      <c r="J189" s="22"/>
      <c r="K189" s="22"/>
      <c r="L189" s="22"/>
      <c r="M189" s="22"/>
      <c r="N189" s="22"/>
      <c r="O189" s="22"/>
      <c r="P189" s="22"/>
      <c r="Q189" s="22"/>
      <c r="R189" s="22"/>
      <c r="S189" s="2">
        <f t="shared" si="128"/>
        <v>0</v>
      </c>
      <c r="T189" s="20"/>
      <c r="U189" s="2">
        <f>(C182+D182)*$C$31/2</f>
        <v>0</v>
      </c>
      <c r="W189" s="2">
        <f>(C182+D182)*$C$31</f>
        <v>0</v>
      </c>
    </row>
    <row r="190" spans="2:23" x14ac:dyDescent="0.35">
      <c r="B190" s="100"/>
      <c r="C190" s="101"/>
      <c r="D190" s="103"/>
      <c r="E190" s="101"/>
      <c r="F190" s="3" t="s">
        <v>22</v>
      </c>
      <c r="G190" s="21"/>
      <c r="H190" s="21"/>
      <c r="I190" s="21"/>
      <c r="J190" s="21"/>
      <c r="K190" s="21"/>
      <c r="L190" s="21"/>
      <c r="M190" s="21"/>
      <c r="N190" s="21"/>
      <c r="O190" s="21"/>
      <c r="P190" s="21"/>
      <c r="Q190" s="2">
        <f>IF($C$25&gt;=Q180-10,$C$33,0)*($C$182+$D$182)</f>
        <v>0</v>
      </c>
      <c r="R190" s="2">
        <f>IF($C$25&gt;=R180-10,$C$33,0)*($C$182+$D$182)</f>
        <v>0</v>
      </c>
      <c r="S190" s="2">
        <f t="shared" si="128"/>
        <v>0</v>
      </c>
      <c r="T190" s="20"/>
      <c r="U190" s="19">
        <f>W190-S190</f>
        <v>0</v>
      </c>
      <c r="W190" s="2">
        <f>(C182+D182)*($C$32*0.8)</f>
        <v>0</v>
      </c>
    </row>
    <row r="191" spans="2:23" x14ac:dyDescent="0.35">
      <c r="B191" s="100"/>
      <c r="C191" s="101"/>
      <c r="D191" s="104"/>
      <c r="E191" s="101"/>
      <c r="F191" s="3" t="s">
        <v>23</v>
      </c>
      <c r="G191" s="21"/>
      <c r="H191" s="21"/>
      <c r="I191" s="21"/>
      <c r="J191" s="21"/>
      <c r="K191" s="21"/>
      <c r="L191" s="21"/>
      <c r="M191" s="21"/>
      <c r="N191" s="21"/>
      <c r="O191" s="21"/>
      <c r="P191" s="21"/>
      <c r="Q191" s="2">
        <f>IF($C$25+1=Q180-10,$C$34,0)*($C$182+$D$182)</f>
        <v>0</v>
      </c>
      <c r="R191" s="2">
        <f>IF($C$25+1=R180-10,$C$34,0)*($C$182+$D$182)</f>
        <v>0</v>
      </c>
      <c r="S191" s="2">
        <f t="shared" si="128"/>
        <v>0</v>
      </c>
      <c r="T191" s="20"/>
      <c r="U191" s="2">
        <f>W191-S191</f>
        <v>0</v>
      </c>
      <c r="V191" s="20"/>
      <c r="W191" s="2">
        <f>(C182+D182)*$C$34</f>
        <v>0</v>
      </c>
    </row>
    <row r="193" spans="2:23" x14ac:dyDescent="0.35">
      <c r="F193" s="6" t="s">
        <v>18</v>
      </c>
      <c r="G193" s="6">
        <v>1</v>
      </c>
      <c r="H193" s="6">
        <v>2</v>
      </c>
      <c r="I193" s="6">
        <v>3</v>
      </c>
      <c r="J193" s="6">
        <v>4</v>
      </c>
      <c r="K193" s="6">
        <v>5</v>
      </c>
      <c r="L193" s="6">
        <v>6</v>
      </c>
      <c r="M193" s="6">
        <v>7</v>
      </c>
      <c r="N193" s="6">
        <v>8</v>
      </c>
      <c r="O193" s="6">
        <v>9</v>
      </c>
      <c r="P193" s="6">
        <v>10</v>
      </c>
      <c r="Q193" s="6">
        <v>11</v>
      </c>
      <c r="R193" s="6">
        <v>12</v>
      </c>
    </row>
    <row r="194" spans="2:23" ht="37.5" x14ac:dyDescent="0.35">
      <c r="B194" s="8" t="s">
        <v>17</v>
      </c>
      <c r="C194" s="8" t="s">
        <v>10</v>
      </c>
      <c r="D194" s="8" t="s">
        <v>11</v>
      </c>
      <c r="E194" s="8" t="s">
        <v>12</v>
      </c>
      <c r="F194" s="73"/>
      <c r="G194" s="60">
        <v>43313</v>
      </c>
      <c r="H194" s="60">
        <v>43344</v>
      </c>
      <c r="I194" s="60">
        <v>43374</v>
      </c>
      <c r="J194" s="60">
        <v>43405</v>
      </c>
      <c r="K194" s="60">
        <v>43435</v>
      </c>
      <c r="L194" s="60">
        <v>43466</v>
      </c>
      <c r="M194" s="60">
        <v>43497</v>
      </c>
      <c r="N194" s="60">
        <v>43525</v>
      </c>
      <c r="O194" s="60">
        <v>43556</v>
      </c>
      <c r="P194" s="60">
        <v>43586</v>
      </c>
      <c r="Q194" s="60">
        <v>43617</v>
      </c>
      <c r="R194" s="60">
        <v>43647</v>
      </c>
      <c r="S194" s="74" t="s">
        <v>16</v>
      </c>
      <c r="T194" s="20"/>
      <c r="U194" s="8" t="s">
        <v>56</v>
      </c>
      <c r="W194" s="8" t="s">
        <v>16</v>
      </c>
    </row>
    <row r="195" spans="2:23" x14ac:dyDescent="0.35">
      <c r="B195" s="100">
        <v>43647</v>
      </c>
      <c r="C195" s="101">
        <f>R22</f>
        <v>0</v>
      </c>
      <c r="D195" s="102">
        <f>R23</f>
        <v>0</v>
      </c>
      <c r="E195" s="101">
        <f>R25</f>
        <v>0</v>
      </c>
      <c r="F195" s="3" t="s">
        <v>4</v>
      </c>
      <c r="G195" s="21"/>
      <c r="H195" s="21"/>
      <c r="I195" s="21"/>
      <c r="J195" s="21"/>
      <c r="K195" s="21"/>
      <c r="L195" s="21"/>
      <c r="M195" s="21"/>
      <c r="N195" s="21"/>
      <c r="O195" s="21"/>
      <c r="P195" s="21"/>
      <c r="Q195" s="21"/>
      <c r="R195" s="2">
        <f>IF($C$25&gt;=R193-10,$C$28,0)*$C$195</f>
        <v>0</v>
      </c>
      <c r="S195" s="2">
        <f>SUM(G195:R195)</f>
        <v>0</v>
      </c>
      <c r="T195" s="20"/>
      <c r="U195" s="2">
        <f t="shared" ref="U195:U200" si="129">W195-S195</f>
        <v>0</v>
      </c>
      <c r="W195" s="2">
        <f>C195*$C$35</f>
        <v>0</v>
      </c>
    </row>
    <row r="196" spans="2:23" x14ac:dyDescent="0.35">
      <c r="B196" s="100"/>
      <c r="C196" s="101"/>
      <c r="D196" s="103"/>
      <c r="E196" s="101"/>
      <c r="F196" s="3" t="s">
        <v>5</v>
      </c>
      <c r="G196" s="21"/>
      <c r="H196" s="21"/>
      <c r="I196" s="21"/>
      <c r="J196" s="21"/>
      <c r="K196" s="21"/>
      <c r="L196" s="21"/>
      <c r="M196" s="21"/>
      <c r="N196" s="21"/>
      <c r="O196" s="21"/>
      <c r="P196" s="21"/>
      <c r="Q196" s="21"/>
      <c r="R196" s="2">
        <f>IF($C$25+11=R193,$C$36,0)*$C$195</f>
        <v>0</v>
      </c>
      <c r="S196" s="2">
        <f>SUM(G196:R196)</f>
        <v>0</v>
      </c>
      <c r="T196" s="24"/>
      <c r="U196" s="2">
        <f t="shared" si="129"/>
        <v>0</v>
      </c>
      <c r="W196" s="2">
        <f>C195*$C$36</f>
        <v>0</v>
      </c>
    </row>
    <row r="197" spans="2:23" x14ac:dyDescent="0.35">
      <c r="B197" s="100"/>
      <c r="C197" s="101"/>
      <c r="D197" s="103"/>
      <c r="E197" s="101"/>
      <c r="F197" s="3" t="s">
        <v>6</v>
      </c>
      <c r="G197" s="21"/>
      <c r="H197" s="21"/>
      <c r="I197" s="21"/>
      <c r="J197" s="21"/>
      <c r="K197" s="21"/>
      <c r="L197" s="21"/>
      <c r="M197" s="21"/>
      <c r="N197" s="21"/>
      <c r="O197" s="21"/>
      <c r="P197" s="21"/>
      <c r="Q197" s="21"/>
      <c r="R197" s="2">
        <f>IF($C$25&gt;=R193-10,$C$29,0)*$D$195</f>
        <v>0</v>
      </c>
      <c r="S197" s="2">
        <f t="shared" ref="S197:S204" si="130">SUM(G197:R197)</f>
        <v>0</v>
      </c>
      <c r="T197" s="24"/>
      <c r="U197" s="2">
        <f t="shared" si="129"/>
        <v>0</v>
      </c>
      <c r="W197" s="2">
        <f>D195*$C$37</f>
        <v>0</v>
      </c>
    </row>
    <row r="198" spans="2:23" x14ac:dyDescent="0.35">
      <c r="B198" s="100"/>
      <c r="C198" s="101"/>
      <c r="D198" s="103"/>
      <c r="E198" s="101"/>
      <c r="F198" s="3" t="s">
        <v>7</v>
      </c>
      <c r="G198" s="21"/>
      <c r="H198" s="21"/>
      <c r="I198" s="21"/>
      <c r="J198" s="21"/>
      <c r="K198" s="21"/>
      <c r="L198" s="21"/>
      <c r="M198" s="21"/>
      <c r="N198" s="21"/>
      <c r="O198" s="21"/>
      <c r="P198" s="21"/>
      <c r="Q198" s="21"/>
      <c r="R198" s="2">
        <f>IF($C$25+11=R193,$C$38,0)*$D$195</f>
        <v>0</v>
      </c>
      <c r="S198" s="2">
        <f t="shared" si="130"/>
        <v>0</v>
      </c>
      <c r="T198" s="24"/>
      <c r="U198" s="2">
        <f t="shared" si="129"/>
        <v>0</v>
      </c>
      <c r="W198" s="2">
        <f>D195*$C$38</f>
        <v>0</v>
      </c>
    </row>
    <row r="199" spans="2:23" x14ac:dyDescent="0.35">
      <c r="B199" s="100"/>
      <c r="C199" s="101"/>
      <c r="D199" s="103"/>
      <c r="E199" s="101"/>
      <c r="F199" s="3" t="s">
        <v>8</v>
      </c>
      <c r="G199" s="21"/>
      <c r="H199" s="21"/>
      <c r="I199" s="21"/>
      <c r="J199" s="21"/>
      <c r="K199" s="21"/>
      <c r="L199" s="21"/>
      <c r="M199" s="21"/>
      <c r="N199" s="21"/>
      <c r="O199" s="21"/>
      <c r="P199" s="21"/>
      <c r="Q199" s="21"/>
      <c r="R199" s="2">
        <f>IF($C$25&gt;=R193-10,$C$29,0)*$E$195</f>
        <v>0</v>
      </c>
      <c r="S199" s="2">
        <f t="shared" si="130"/>
        <v>0</v>
      </c>
      <c r="T199" s="24"/>
      <c r="U199" s="2">
        <f t="shared" si="129"/>
        <v>0</v>
      </c>
      <c r="W199" s="2">
        <f>E195*$C$37</f>
        <v>0</v>
      </c>
    </row>
    <row r="200" spans="2:23" x14ac:dyDescent="0.35">
      <c r="B200" s="100"/>
      <c r="C200" s="101"/>
      <c r="D200" s="103"/>
      <c r="E200" s="101"/>
      <c r="F200" s="3" t="s">
        <v>9</v>
      </c>
      <c r="G200" s="21"/>
      <c r="H200" s="21"/>
      <c r="I200" s="21"/>
      <c r="J200" s="21"/>
      <c r="K200" s="21"/>
      <c r="L200" s="21"/>
      <c r="M200" s="21"/>
      <c r="N200" s="21"/>
      <c r="O200" s="21"/>
      <c r="P200" s="21"/>
      <c r="Q200" s="21"/>
      <c r="R200" s="2">
        <f>IF($C$25+11=R193,$C$38,0)*$E$195</f>
        <v>0</v>
      </c>
      <c r="S200" s="2">
        <f t="shared" si="130"/>
        <v>0</v>
      </c>
      <c r="T200" s="24"/>
      <c r="U200" s="2">
        <f t="shared" si="129"/>
        <v>0</v>
      </c>
      <c r="W200" s="2">
        <f>E195*$C$38</f>
        <v>0</v>
      </c>
    </row>
    <row r="201" spans="2:23" x14ac:dyDescent="0.35">
      <c r="B201" s="100"/>
      <c r="C201" s="101"/>
      <c r="D201" s="103"/>
      <c r="E201" s="101"/>
      <c r="F201" s="3" t="s">
        <v>14</v>
      </c>
      <c r="G201" s="18"/>
      <c r="H201" s="18"/>
      <c r="I201" s="21"/>
      <c r="J201" s="22"/>
      <c r="K201" s="22"/>
      <c r="L201" s="22"/>
      <c r="M201" s="22"/>
      <c r="N201" s="22"/>
      <c r="O201" s="22"/>
      <c r="P201" s="22"/>
      <c r="Q201" s="22"/>
      <c r="R201" s="22"/>
      <c r="S201" s="2">
        <f t="shared" si="130"/>
        <v>0</v>
      </c>
      <c r="T201" s="20"/>
      <c r="U201" s="2">
        <f>(C195+D195)*$C$30/2</f>
        <v>0</v>
      </c>
      <c r="W201" s="2">
        <f>(C195+D195)*$C$30</f>
        <v>0</v>
      </c>
    </row>
    <row r="202" spans="2:23" x14ac:dyDescent="0.35">
      <c r="B202" s="100"/>
      <c r="C202" s="101"/>
      <c r="D202" s="103"/>
      <c r="E202" s="101"/>
      <c r="F202" s="3" t="s">
        <v>15</v>
      </c>
      <c r="G202" s="18"/>
      <c r="H202" s="18"/>
      <c r="I202" s="21"/>
      <c r="J202" s="22"/>
      <c r="K202" s="22"/>
      <c r="L202" s="22"/>
      <c r="M202" s="22"/>
      <c r="N202" s="22"/>
      <c r="O202" s="22"/>
      <c r="P202" s="22"/>
      <c r="Q202" s="22"/>
      <c r="R202" s="22"/>
      <c r="S202" s="2">
        <f t="shared" si="130"/>
        <v>0</v>
      </c>
      <c r="T202" s="20"/>
      <c r="U202" s="2">
        <f>(C195+D195)*$C$31/2</f>
        <v>0</v>
      </c>
      <c r="W202" s="2">
        <f>(C195+D195)*$C$31</f>
        <v>0</v>
      </c>
    </row>
    <row r="203" spans="2:23" x14ac:dyDescent="0.35">
      <c r="B203" s="100"/>
      <c r="C203" s="101"/>
      <c r="D203" s="103"/>
      <c r="E203" s="101"/>
      <c r="F203" s="3" t="s">
        <v>22</v>
      </c>
      <c r="G203" s="21"/>
      <c r="H203" s="21"/>
      <c r="I203" s="21"/>
      <c r="J203" s="21"/>
      <c r="K203" s="21"/>
      <c r="L203" s="21"/>
      <c r="M203" s="21"/>
      <c r="N203" s="21"/>
      <c r="O203" s="21"/>
      <c r="P203" s="21"/>
      <c r="Q203" s="21"/>
      <c r="R203" s="2">
        <f>IF($C$25&gt;=R193-10,$C$33,0)*($C$195+$D$195)</f>
        <v>0</v>
      </c>
      <c r="S203" s="2">
        <f t="shared" si="130"/>
        <v>0</v>
      </c>
      <c r="T203" s="20"/>
      <c r="U203" s="19">
        <f>W203-S203</f>
        <v>0</v>
      </c>
      <c r="W203" s="2">
        <f>(C195+D195)*($C$32*0.8)</f>
        <v>0</v>
      </c>
    </row>
    <row r="204" spans="2:23" x14ac:dyDescent="0.35">
      <c r="B204" s="100"/>
      <c r="C204" s="101"/>
      <c r="D204" s="104"/>
      <c r="E204" s="101"/>
      <c r="F204" s="3" t="s">
        <v>23</v>
      </c>
      <c r="G204" s="21"/>
      <c r="H204" s="21"/>
      <c r="I204" s="21"/>
      <c r="J204" s="21"/>
      <c r="K204" s="21"/>
      <c r="L204" s="21"/>
      <c r="M204" s="21"/>
      <c r="N204" s="21"/>
      <c r="O204" s="21"/>
      <c r="P204" s="21"/>
      <c r="Q204" s="21"/>
      <c r="R204" s="2">
        <f>IF($C$25+1=R193-10,$C$34,0)*($C$195+$D$195)</f>
        <v>0</v>
      </c>
      <c r="S204" s="2">
        <f t="shared" si="130"/>
        <v>0</v>
      </c>
      <c r="T204" s="20"/>
      <c r="U204" s="2">
        <f>W204-S204</f>
        <v>0</v>
      </c>
      <c r="V204" s="20"/>
      <c r="W204" s="2">
        <f>(C195+D195)*$C$34</f>
        <v>0</v>
      </c>
    </row>
  </sheetData>
  <mergeCells count="56">
    <mergeCell ref="B169:B178"/>
    <mergeCell ref="C169:C178"/>
    <mergeCell ref="D169:D178"/>
    <mergeCell ref="E169:E178"/>
    <mergeCell ref="B182:B191"/>
    <mergeCell ref="C182:C191"/>
    <mergeCell ref="D182:D191"/>
    <mergeCell ref="E182:E191"/>
    <mergeCell ref="B78:B87"/>
    <mergeCell ref="C78:C87"/>
    <mergeCell ref="D78:D87"/>
    <mergeCell ref="E78:E87"/>
    <mergeCell ref="B156:B165"/>
    <mergeCell ref="C156:C165"/>
    <mergeCell ref="D156:D165"/>
    <mergeCell ref="E156:E165"/>
    <mergeCell ref="B130:B139"/>
    <mergeCell ref="C130:C139"/>
    <mergeCell ref="D130:D139"/>
    <mergeCell ref="E130:E139"/>
    <mergeCell ref="B143:B152"/>
    <mergeCell ref="C143:C152"/>
    <mergeCell ref="D143:D152"/>
    <mergeCell ref="E143:E152"/>
    <mergeCell ref="F27:G27"/>
    <mergeCell ref="B1:W1"/>
    <mergeCell ref="B2:W2"/>
    <mergeCell ref="B4:W4"/>
    <mergeCell ref="B104:B113"/>
    <mergeCell ref="C104:C113"/>
    <mergeCell ref="D104:D113"/>
    <mergeCell ref="E104:E113"/>
    <mergeCell ref="B52:B61"/>
    <mergeCell ref="C52:C61"/>
    <mergeCell ref="D52:D61"/>
    <mergeCell ref="E52:E61"/>
    <mergeCell ref="C21:D21"/>
    <mergeCell ref="E10:E12"/>
    <mergeCell ref="E65:E74"/>
    <mergeCell ref="D65:D74"/>
    <mergeCell ref="E13:E15"/>
    <mergeCell ref="E7:E9"/>
    <mergeCell ref="B195:B204"/>
    <mergeCell ref="C195:C204"/>
    <mergeCell ref="D195:D204"/>
    <mergeCell ref="E195:E204"/>
    <mergeCell ref="B117:B126"/>
    <mergeCell ref="C117:C126"/>
    <mergeCell ref="D117:D126"/>
    <mergeCell ref="E117:E126"/>
    <mergeCell ref="B91:B100"/>
    <mergeCell ref="C91:C100"/>
    <mergeCell ref="D91:D100"/>
    <mergeCell ref="E91:E100"/>
    <mergeCell ref="C65:C74"/>
    <mergeCell ref="B65:B74"/>
  </mergeCells>
  <printOptions horizontalCentered="1"/>
  <pageMargins left="0.51181102362204722" right="0.51181102362204722" top="0.94488188976377963" bottom="0.74803149606299213" header="0.31496062992125984" footer="0.31496062992125984"/>
  <pageSetup paperSize="9" scale="28" orientation="landscape" horizontalDpi="1200" verticalDpi="1200" r:id="rId1"/>
  <ignoredErrors>
    <ignoredError sqref="G24:O24 P24:Q24" formulaRange="1"/>
    <ignoredError sqref="S30 S32 S24 R37:R46" formula="1"/>
    <ignoredError sqref="R24" formula="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49F5B-60B9-437F-A152-221419A2797E}">
  <dimension ref="A1:X204"/>
  <sheetViews>
    <sheetView showGridLines="0" tabSelected="1" zoomScaleNormal="100" workbookViewId="0">
      <selection activeCell="B17" sqref="B17"/>
    </sheetView>
  </sheetViews>
  <sheetFormatPr defaultColWidth="8.81640625" defaultRowHeight="12.5" x14ac:dyDescent="0.35"/>
  <cols>
    <col min="1" max="1" width="3.1796875" style="47" customWidth="1"/>
    <col min="2" max="2" width="40.26953125" style="6" customWidth="1"/>
    <col min="3" max="3" width="19.81640625" style="6" customWidth="1"/>
    <col min="4" max="4" width="16" style="6" customWidth="1"/>
    <col min="5" max="5" width="21.26953125" style="6" customWidth="1"/>
    <col min="6" max="6" width="35.7265625" style="5" customWidth="1"/>
    <col min="7" max="19" width="17.1796875" style="5" customWidth="1"/>
    <col min="20" max="20" width="1.7265625" style="5" customWidth="1"/>
    <col min="21" max="21" width="17.1796875" style="5" customWidth="1"/>
    <col min="22" max="22" width="1.54296875" style="7" customWidth="1"/>
    <col min="23" max="23" width="17.1796875" style="5" customWidth="1"/>
    <col min="24" max="16384" width="8.81640625" style="5"/>
  </cols>
  <sheetData>
    <row r="1" spans="1:23" ht="39.75" customHeight="1" x14ac:dyDescent="0.35">
      <c r="B1" s="107" t="s">
        <v>55</v>
      </c>
      <c r="C1" s="107"/>
      <c r="D1" s="107"/>
      <c r="E1" s="107"/>
      <c r="F1" s="107"/>
      <c r="G1" s="107"/>
      <c r="H1" s="107"/>
      <c r="I1" s="107"/>
      <c r="J1" s="107"/>
      <c r="K1" s="107"/>
      <c r="L1" s="107"/>
      <c r="M1" s="107"/>
      <c r="N1" s="107"/>
      <c r="O1" s="107"/>
      <c r="P1" s="107"/>
      <c r="Q1" s="107"/>
      <c r="R1" s="107"/>
      <c r="S1" s="107"/>
      <c r="T1" s="107"/>
      <c r="U1" s="107"/>
      <c r="V1" s="107"/>
      <c r="W1" s="107"/>
    </row>
    <row r="2" spans="1:23" ht="18" customHeight="1" x14ac:dyDescent="0.35">
      <c r="B2" s="108"/>
      <c r="C2" s="108"/>
      <c r="D2" s="108"/>
      <c r="E2" s="108"/>
      <c r="F2" s="108"/>
      <c r="G2" s="108"/>
      <c r="H2" s="108"/>
      <c r="I2" s="108"/>
      <c r="J2" s="108"/>
      <c r="K2" s="108"/>
      <c r="L2" s="108"/>
      <c r="M2" s="108"/>
      <c r="N2" s="108"/>
      <c r="O2" s="108"/>
      <c r="P2" s="108"/>
      <c r="Q2" s="108"/>
      <c r="R2" s="108"/>
      <c r="S2" s="108"/>
      <c r="T2" s="108"/>
      <c r="U2" s="108"/>
      <c r="V2" s="108"/>
      <c r="W2" s="108"/>
    </row>
    <row r="3" spans="1:23" s="45" customFormat="1" ht="12.75" customHeight="1" x14ac:dyDescent="0.35">
      <c r="A3" s="29"/>
      <c r="B3" s="56"/>
      <c r="C3" s="56"/>
      <c r="D3" s="56"/>
      <c r="E3" s="56"/>
      <c r="F3" s="56"/>
      <c r="G3" s="56"/>
      <c r="H3" s="56"/>
      <c r="I3" s="56"/>
      <c r="J3" s="56"/>
      <c r="K3" s="56"/>
      <c r="L3" s="56"/>
      <c r="M3" s="56"/>
      <c r="N3" s="56"/>
      <c r="O3" s="56"/>
      <c r="P3" s="56"/>
      <c r="Q3" s="56"/>
      <c r="R3" s="56"/>
      <c r="S3" s="56"/>
      <c r="T3" s="56"/>
      <c r="U3" s="56"/>
      <c r="V3" s="56"/>
      <c r="W3" s="56"/>
    </row>
    <row r="4" spans="1:23" ht="45.75" customHeight="1" x14ac:dyDescent="0.35">
      <c r="B4" s="109" t="s">
        <v>41</v>
      </c>
      <c r="C4" s="110"/>
      <c r="D4" s="110"/>
      <c r="E4" s="110"/>
      <c r="F4" s="110"/>
      <c r="G4" s="110"/>
      <c r="H4" s="110"/>
      <c r="I4" s="110"/>
      <c r="J4" s="110"/>
      <c r="K4" s="110"/>
      <c r="L4" s="110"/>
      <c r="M4" s="110"/>
      <c r="N4" s="110"/>
      <c r="O4" s="110"/>
      <c r="P4" s="110"/>
      <c r="Q4" s="110"/>
      <c r="R4" s="110"/>
      <c r="S4" s="110"/>
      <c r="T4" s="110"/>
      <c r="U4" s="110"/>
      <c r="V4" s="110"/>
      <c r="W4" s="111"/>
    </row>
    <row r="5" spans="1:23" x14ac:dyDescent="0.35">
      <c r="A5" s="58"/>
      <c r="B5" s="43"/>
      <c r="C5" s="43"/>
      <c r="D5" s="43"/>
      <c r="E5" s="38"/>
      <c r="F5" s="34"/>
      <c r="G5" s="45"/>
      <c r="H5" s="45"/>
      <c r="I5" s="45"/>
      <c r="J5" s="45"/>
      <c r="K5" s="45"/>
      <c r="L5" s="45"/>
      <c r="M5" s="45"/>
      <c r="N5" s="45"/>
      <c r="O5" s="45"/>
      <c r="P5" s="45"/>
      <c r="Q5" s="45"/>
      <c r="R5" s="45"/>
      <c r="S5" s="45"/>
      <c r="T5" s="34"/>
      <c r="U5" s="34"/>
      <c r="V5" s="34"/>
      <c r="W5" s="34"/>
    </row>
    <row r="6" spans="1:23" ht="23.25" customHeight="1" x14ac:dyDescent="0.35">
      <c r="A6" s="58"/>
      <c r="B6" s="61"/>
      <c r="C6" s="61"/>
      <c r="D6" s="61"/>
      <c r="E6" s="80"/>
      <c r="F6" s="78"/>
      <c r="G6" s="82">
        <v>43313</v>
      </c>
      <c r="H6" s="82">
        <v>43344</v>
      </c>
      <c r="I6" s="82">
        <v>43374</v>
      </c>
      <c r="J6" s="82">
        <v>43405</v>
      </c>
      <c r="K6" s="82">
        <v>43435</v>
      </c>
      <c r="L6" s="82">
        <v>43466</v>
      </c>
      <c r="M6" s="82">
        <v>43497</v>
      </c>
      <c r="N6" s="82">
        <v>43525</v>
      </c>
      <c r="O6" s="82">
        <v>43556</v>
      </c>
      <c r="P6" s="82">
        <v>43586</v>
      </c>
      <c r="Q6" s="82">
        <v>43617</v>
      </c>
      <c r="R6" s="36">
        <v>43647</v>
      </c>
      <c r="S6" s="117" t="s">
        <v>59</v>
      </c>
      <c r="T6" s="79"/>
      <c r="U6" s="12" t="s">
        <v>56</v>
      </c>
      <c r="V6" s="47"/>
      <c r="W6" s="12" t="s">
        <v>16</v>
      </c>
    </row>
    <row r="7" spans="1:23" s="90" customFormat="1" ht="23.25" customHeight="1" x14ac:dyDescent="0.35">
      <c r="A7" s="84"/>
      <c r="B7" s="85"/>
      <c r="C7" s="85"/>
      <c r="D7" s="85"/>
      <c r="E7" s="97" t="str">
        <f>D26</f>
        <v>ACT2</v>
      </c>
      <c r="F7" s="86" t="str">
        <f>IF(E7="ACT1",F10,IF(E7="ACT2",F13,"Set whether levy funded or not"))</f>
        <v>Non-levy allocation funding</v>
      </c>
      <c r="G7" s="87">
        <f>IF($E$7="ACT1",G10,IF($E$7="ACT2",G13,0))</f>
        <v>0</v>
      </c>
      <c r="H7" s="87">
        <f t="shared" ref="H7:R8" si="0">IF($E$7="ACT1",H10,IF($E$7="ACT2",H13,0))</f>
        <v>0</v>
      </c>
      <c r="I7" s="87">
        <f t="shared" si="0"/>
        <v>0</v>
      </c>
      <c r="J7" s="87">
        <f t="shared" si="0"/>
        <v>126</v>
      </c>
      <c r="K7" s="87">
        <f t="shared" si="0"/>
        <v>126</v>
      </c>
      <c r="L7" s="87">
        <f t="shared" si="0"/>
        <v>126</v>
      </c>
      <c r="M7" s="87">
        <f t="shared" si="0"/>
        <v>126</v>
      </c>
      <c r="N7" s="87">
        <f t="shared" si="0"/>
        <v>126</v>
      </c>
      <c r="O7" s="87">
        <f t="shared" si="0"/>
        <v>126</v>
      </c>
      <c r="P7" s="87">
        <f t="shared" si="0"/>
        <v>126</v>
      </c>
      <c r="Q7" s="87">
        <f t="shared" si="0"/>
        <v>126</v>
      </c>
      <c r="R7" s="87">
        <f t="shared" si="0"/>
        <v>126</v>
      </c>
      <c r="S7" s="116">
        <f>SUM(G7:R7)</f>
        <v>1134</v>
      </c>
      <c r="T7" s="88"/>
      <c r="U7" s="87">
        <f t="shared" ref="U7:U8" si="1">IF($E$7="ACT1",U10,IF($E$7="ACT2",U13,0))</f>
        <v>756</v>
      </c>
      <c r="V7" s="89"/>
      <c r="W7" s="87">
        <f>IF($E$7="ACT1",W10,IF($E$7="ACT2",W13,0))</f>
        <v>1890</v>
      </c>
    </row>
    <row r="8" spans="1:23" s="90" customFormat="1" ht="23.25" customHeight="1" x14ac:dyDescent="0.35">
      <c r="A8" s="84"/>
      <c r="B8" s="85"/>
      <c r="C8" s="85"/>
      <c r="D8" s="85"/>
      <c r="E8" s="98"/>
      <c r="F8" s="86" t="str">
        <f>IF(E7="ACT1",F11,IF(E7="ACT2",F14,"Set whether levy funded or not"))</f>
        <v>Employer contribution</v>
      </c>
      <c r="G8" s="87">
        <f>IF($E$7="ACT1",G11,IF($E$7="ACT2",G14,0))</f>
        <v>0</v>
      </c>
      <c r="H8" s="87">
        <f t="shared" si="0"/>
        <v>0</v>
      </c>
      <c r="I8" s="87">
        <f t="shared" si="0"/>
        <v>0</v>
      </c>
      <c r="J8" s="87">
        <f t="shared" si="0"/>
        <v>14</v>
      </c>
      <c r="K8" s="87">
        <f t="shared" si="0"/>
        <v>14</v>
      </c>
      <c r="L8" s="87">
        <f t="shared" si="0"/>
        <v>14</v>
      </c>
      <c r="M8" s="87">
        <f t="shared" si="0"/>
        <v>14</v>
      </c>
      <c r="N8" s="87">
        <f t="shared" si="0"/>
        <v>14</v>
      </c>
      <c r="O8" s="87">
        <f t="shared" si="0"/>
        <v>14</v>
      </c>
      <c r="P8" s="87">
        <f t="shared" si="0"/>
        <v>14</v>
      </c>
      <c r="Q8" s="87">
        <f t="shared" si="0"/>
        <v>14</v>
      </c>
      <c r="R8" s="87">
        <f t="shared" si="0"/>
        <v>14</v>
      </c>
      <c r="S8" s="116">
        <f>SUM(G8:R8)</f>
        <v>126</v>
      </c>
      <c r="T8" s="88"/>
      <c r="U8" s="87">
        <f t="shared" si="1"/>
        <v>84</v>
      </c>
      <c r="V8" s="89"/>
      <c r="W8" s="87">
        <f t="shared" ref="W8" si="2">IF($E$7="ACT1",W11,IF($E$7="ACT2",W14,0))</f>
        <v>210</v>
      </c>
    </row>
    <row r="9" spans="1:23" s="90" customFormat="1" ht="23.25" customHeight="1" x14ac:dyDescent="0.35">
      <c r="A9" s="84"/>
      <c r="B9" s="85"/>
      <c r="C9" s="85"/>
      <c r="D9" s="85"/>
      <c r="E9" s="99"/>
      <c r="F9" s="91" t="str">
        <f>IF(E7="ACT1",F12,IF(E7="ACT2",F15,"Set whether levy funded or not"))</f>
        <v>Total income</v>
      </c>
      <c r="G9" s="87">
        <f>G7+G8</f>
        <v>0</v>
      </c>
      <c r="H9" s="87">
        <f t="shared" ref="H9:R9" si="3">H7+H8</f>
        <v>0</v>
      </c>
      <c r="I9" s="87">
        <f t="shared" si="3"/>
        <v>0</v>
      </c>
      <c r="J9" s="87">
        <f t="shared" si="3"/>
        <v>140</v>
      </c>
      <c r="K9" s="87">
        <f t="shared" si="3"/>
        <v>140</v>
      </c>
      <c r="L9" s="87">
        <f t="shared" si="3"/>
        <v>140</v>
      </c>
      <c r="M9" s="87">
        <f t="shared" si="3"/>
        <v>140</v>
      </c>
      <c r="N9" s="87">
        <f t="shared" si="3"/>
        <v>140</v>
      </c>
      <c r="O9" s="87">
        <f t="shared" si="3"/>
        <v>140</v>
      </c>
      <c r="P9" s="87">
        <f t="shared" si="3"/>
        <v>140</v>
      </c>
      <c r="Q9" s="87">
        <f t="shared" si="3"/>
        <v>140</v>
      </c>
      <c r="R9" s="87">
        <f t="shared" si="3"/>
        <v>140</v>
      </c>
      <c r="S9" s="116">
        <f>SUM(G9:R9)</f>
        <v>1260</v>
      </c>
      <c r="T9" s="88"/>
      <c r="U9" s="87">
        <f t="shared" ref="U9" si="4">U7+U8</f>
        <v>840</v>
      </c>
      <c r="V9" s="89"/>
      <c r="W9" s="87">
        <f>W7+W8</f>
        <v>2100</v>
      </c>
    </row>
    <row r="10" spans="1:23" ht="23.25" hidden="1" customHeight="1" x14ac:dyDescent="0.35">
      <c r="A10" s="58"/>
      <c r="B10" s="61"/>
      <c r="C10" s="61"/>
      <c r="D10" s="61"/>
      <c r="E10" s="114" t="s">
        <v>47</v>
      </c>
      <c r="F10" s="83" t="s">
        <v>44</v>
      </c>
      <c r="G10" s="2">
        <f>IF($C$26="Y",G37+G38+G39+G40+G41+G42,0)</f>
        <v>0</v>
      </c>
      <c r="H10" s="2">
        <f t="shared" ref="H10:Q10" si="5">IF($C$26="Y",H37+H38+H39+H40+H41+H42,0)</f>
        <v>0</v>
      </c>
      <c r="I10" s="2">
        <f t="shared" si="5"/>
        <v>0</v>
      </c>
      <c r="J10" s="2">
        <f t="shared" si="5"/>
        <v>0</v>
      </c>
      <c r="K10" s="2">
        <f t="shared" si="5"/>
        <v>0</v>
      </c>
      <c r="L10" s="2">
        <f t="shared" si="5"/>
        <v>0</v>
      </c>
      <c r="M10" s="2">
        <f t="shared" si="5"/>
        <v>0</v>
      </c>
      <c r="N10" s="2">
        <f t="shared" si="5"/>
        <v>0</v>
      </c>
      <c r="O10" s="2">
        <f t="shared" si="5"/>
        <v>0</v>
      </c>
      <c r="P10" s="2">
        <f t="shared" si="5"/>
        <v>0</v>
      </c>
      <c r="Q10" s="2">
        <f t="shared" si="5"/>
        <v>0</v>
      </c>
      <c r="R10" s="2">
        <f>IF($C$26="Y",R37+R38+R39+R40+R41+R42,0)</f>
        <v>0</v>
      </c>
      <c r="S10" s="92"/>
      <c r="T10" s="79"/>
      <c r="U10" s="2">
        <f>IF($C$26="Y",U37+U38+U39+U40+U41+U42,0)</f>
        <v>0</v>
      </c>
      <c r="V10" s="34"/>
      <c r="W10" s="2">
        <f>IF($C$26="Y",W37+W38+W39+W40+W41+W42,0)</f>
        <v>0</v>
      </c>
    </row>
    <row r="11" spans="1:23" ht="23.25" hidden="1" customHeight="1" x14ac:dyDescent="0.35">
      <c r="A11" s="58"/>
      <c r="B11" s="61"/>
      <c r="C11" s="61"/>
      <c r="D11" s="61"/>
      <c r="E11" s="114"/>
      <c r="F11" s="1" t="s">
        <v>49</v>
      </c>
      <c r="G11" s="2">
        <f t="shared" ref="G11:R11" si="6">IF($C$26="Y",G45+G46,0)</f>
        <v>0</v>
      </c>
      <c r="H11" s="2">
        <f t="shared" si="6"/>
        <v>0</v>
      </c>
      <c r="I11" s="2">
        <f t="shared" si="6"/>
        <v>0</v>
      </c>
      <c r="J11" s="2">
        <f t="shared" si="6"/>
        <v>0</v>
      </c>
      <c r="K11" s="2">
        <f t="shared" si="6"/>
        <v>0</v>
      </c>
      <c r="L11" s="2">
        <f t="shared" si="6"/>
        <v>0</v>
      </c>
      <c r="M11" s="2">
        <f t="shared" si="6"/>
        <v>0</v>
      </c>
      <c r="N11" s="2">
        <f t="shared" si="6"/>
        <v>0</v>
      </c>
      <c r="O11" s="2">
        <f t="shared" si="6"/>
        <v>0</v>
      </c>
      <c r="P11" s="2">
        <f t="shared" si="6"/>
        <v>0</v>
      </c>
      <c r="Q11" s="2">
        <f t="shared" si="6"/>
        <v>0</v>
      </c>
      <c r="R11" s="2">
        <f t="shared" si="6"/>
        <v>0</v>
      </c>
      <c r="S11" s="92"/>
      <c r="T11" s="79"/>
      <c r="U11" s="2">
        <f>IF($C$26="Y",U45+U46,0)</f>
        <v>0</v>
      </c>
      <c r="V11" s="34"/>
      <c r="W11" s="2">
        <f>IF($C$26="Y",W45+W46,0)</f>
        <v>0</v>
      </c>
    </row>
    <row r="12" spans="1:23" ht="23.25" hidden="1" customHeight="1" x14ac:dyDescent="0.35">
      <c r="A12" s="58"/>
      <c r="B12" s="61"/>
      <c r="C12" s="61"/>
      <c r="D12" s="61"/>
      <c r="E12" s="115"/>
      <c r="F12" s="1" t="s">
        <v>53</v>
      </c>
      <c r="G12" s="2">
        <f>G10+G11</f>
        <v>0</v>
      </c>
      <c r="H12" s="2">
        <f t="shared" ref="H12:R12" si="7">H10+H11</f>
        <v>0</v>
      </c>
      <c r="I12" s="2">
        <f t="shared" si="7"/>
        <v>0</v>
      </c>
      <c r="J12" s="2">
        <f t="shared" si="7"/>
        <v>0</v>
      </c>
      <c r="K12" s="2">
        <f t="shared" si="7"/>
        <v>0</v>
      </c>
      <c r="L12" s="2">
        <f t="shared" si="7"/>
        <v>0</v>
      </c>
      <c r="M12" s="2">
        <f t="shared" si="7"/>
        <v>0</v>
      </c>
      <c r="N12" s="2">
        <f t="shared" si="7"/>
        <v>0</v>
      </c>
      <c r="O12" s="2">
        <f t="shared" si="7"/>
        <v>0</v>
      </c>
      <c r="P12" s="2">
        <f t="shared" si="7"/>
        <v>0</v>
      </c>
      <c r="Q12" s="2">
        <f t="shared" si="7"/>
        <v>0</v>
      </c>
      <c r="R12" s="2">
        <f t="shared" si="7"/>
        <v>0</v>
      </c>
      <c r="S12" s="92"/>
      <c r="T12" s="79"/>
      <c r="U12" s="2">
        <f t="shared" ref="U12" si="8">U10+U11</f>
        <v>0</v>
      </c>
      <c r="V12" s="34"/>
      <c r="W12" s="2">
        <f>W10+W11</f>
        <v>0</v>
      </c>
    </row>
    <row r="13" spans="1:23" ht="23.25" hidden="1" customHeight="1" x14ac:dyDescent="0.35">
      <c r="A13" s="58"/>
      <c r="B13" s="61"/>
      <c r="C13" s="61"/>
      <c r="D13" s="61"/>
      <c r="E13" s="96" t="s">
        <v>52</v>
      </c>
      <c r="F13" s="1" t="s">
        <v>50</v>
      </c>
      <c r="G13" s="2">
        <f>IF($C$26="N",G37+G38+G39+G40+G41+G42+G45+G46,0)</f>
        <v>0</v>
      </c>
      <c r="H13" s="2">
        <f t="shared" ref="H13:R13" si="9">IF($C$26="N",H37+H38+H39+H40+H41+H42+H45+H46,0)</f>
        <v>0</v>
      </c>
      <c r="I13" s="2">
        <f t="shared" si="9"/>
        <v>0</v>
      </c>
      <c r="J13" s="2">
        <f t="shared" si="9"/>
        <v>126</v>
      </c>
      <c r="K13" s="2">
        <f t="shared" si="9"/>
        <v>126</v>
      </c>
      <c r="L13" s="2">
        <f t="shared" si="9"/>
        <v>126</v>
      </c>
      <c r="M13" s="2">
        <f t="shared" si="9"/>
        <v>126</v>
      </c>
      <c r="N13" s="2">
        <f t="shared" si="9"/>
        <v>126</v>
      </c>
      <c r="O13" s="2">
        <f t="shared" si="9"/>
        <v>126</v>
      </c>
      <c r="P13" s="2">
        <f t="shared" si="9"/>
        <v>126</v>
      </c>
      <c r="Q13" s="2">
        <f t="shared" si="9"/>
        <v>126</v>
      </c>
      <c r="R13" s="2">
        <f t="shared" si="9"/>
        <v>126</v>
      </c>
      <c r="S13" s="92"/>
      <c r="T13" s="79"/>
      <c r="U13" s="2">
        <f t="shared" ref="U13" si="10">IF($C$26="N",U37+U38+U39+U40+U41+U42+U45+U46,0)</f>
        <v>756</v>
      </c>
      <c r="V13" s="34"/>
      <c r="W13" s="2">
        <f>IF($C$26="N",W37+W38+W39+W40+W41+W42+W45+W46,0)</f>
        <v>1890</v>
      </c>
    </row>
    <row r="14" spans="1:23" ht="23.25" hidden="1" customHeight="1" x14ac:dyDescent="0.35">
      <c r="A14" s="58"/>
      <c r="B14" s="61"/>
      <c r="C14" s="61"/>
      <c r="D14" s="61"/>
      <c r="E14" s="96"/>
      <c r="F14" s="3" t="s">
        <v>51</v>
      </c>
      <c r="G14" s="2">
        <f>IF($C$26="N",(G37+G38+G39+G40+G41+G42)/0.9-(G37+G38+G39+G40+G41+G42),0)</f>
        <v>0</v>
      </c>
      <c r="H14" s="2">
        <f t="shared" ref="H14:R14" si="11">IF($C$26="N",(H37+H38+H39+H40+H41+H42)/0.9-(H37+H38+H39+H40+H41+H42),0)</f>
        <v>0</v>
      </c>
      <c r="I14" s="2">
        <f t="shared" si="11"/>
        <v>0</v>
      </c>
      <c r="J14" s="2">
        <f t="shared" si="11"/>
        <v>14</v>
      </c>
      <c r="K14" s="2">
        <f t="shared" si="11"/>
        <v>14</v>
      </c>
      <c r="L14" s="2">
        <f t="shared" si="11"/>
        <v>14</v>
      </c>
      <c r="M14" s="2">
        <f t="shared" si="11"/>
        <v>14</v>
      </c>
      <c r="N14" s="2">
        <f t="shared" si="11"/>
        <v>14</v>
      </c>
      <c r="O14" s="2">
        <f t="shared" si="11"/>
        <v>14</v>
      </c>
      <c r="P14" s="2">
        <f t="shared" si="11"/>
        <v>14</v>
      </c>
      <c r="Q14" s="2">
        <f t="shared" si="11"/>
        <v>14</v>
      </c>
      <c r="R14" s="2">
        <f t="shared" si="11"/>
        <v>14</v>
      </c>
      <c r="S14" s="92"/>
      <c r="T14" s="79"/>
      <c r="U14" s="2">
        <f t="shared" ref="U14" si="12">IF($C$26="N",(U37+U38+U39+U40+U41+U42)/0.9-(U37+U38+U39+U40+U41+U42),0)</f>
        <v>84</v>
      </c>
      <c r="V14" s="34"/>
      <c r="W14" s="2">
        <f>IF($C$26="N",(W37+W38+W39+W40+W41+W42)/0.9-(W37+W38+W39+W40+W41+W42),0)</f>
        <v>210</v>
      </c>
    </row>
    <row r="15" spans="1:23" ht="23.25" hidden="1" customHeight="1" x14ac:dyDescent="0.35">
      <c r="A15" s="58"/>
      <c r="B15" s="61"/>
      <c r="C15" s="61"/>
      <c r="D15" s="61"/>
      <c r="E15" s="96"/>
      <c r="F15" s="9" t="s">
        <v>54</v>
      </c>
      <c r="G15" s="92">
        <f>G13+G14</f>
        <v>0</v>
      </c>
      <c r="H15" s="92">
        <f t="shared" ref="H15:R15" si="13">H13+H14</f>
        <v>0</v>
      </c>
      <c r="I15" s="92">
        <f t="shared" si="13"/>
        <v>0</v>
      </c>
      <c r="J15" s="92">
        <f t="shared" si="13"/>
        <v>140</v>
      </c>
      <c r="K15" s="92">
        <f t="shared" si="13"/>
        <v>140</v>
      </c>
      <c r="L15" s="92">
        <f t="shared" si="13"/>
        <v>140</v>
      </c>
      <c r="M15" s="92">
        <f t="shared" si="13"/>
        <v>140</v>
      </c>
      <c r="N15" s="92">
        <f t="shared" si="13"/>
        <v>140</v>
      </c>
      <c r="O15" s="92">
        <f t="shared" si="13"/>
        <v>140</v>
      </c>
      <c r="P15" s="92">
        <f t="shared" si="13"/>
        <v>140</v>
      </c>
      <c r="Q15" s="92">
        <f t="shared" si="13"/>
        <v>140</v>
      </c>
      <c r="R15" s="92">
        <f t="shared" si="13"/>
        <v>140</v>
      </c>
      <c r="S15" s="92"/>
      <c r="T15" s="79"/>
      <c r="U15" s="92">
        <f t="shared" ref="U15" si="14">U13+U14</f>
        <v>840</v>
      </c>
      <c r="V15" s="34"/>
      <c r="W15" s="92">
        <f>W13+W14</f>
        <v>2100</v>
      </c>
    </row>
    <row r="16" spans="1:23" ht="23.25" customHeight="1" x14ac:dyDescent="0.35">
      <c r="A16" s="58"/>
      <c r="B16" s="61"/>
      <c r="C16" s="61"/>
      <c r="D16" s="61"/>
      <c r="E16" s="39"/>
      <c r="G16" s="69"/>
      <c r="H16" s="69"/>
      <c r="I16" s="69" t="s">
        <v>45</v>
      </c>
      <c r="J16" s="69"/>
      <c r="K16" s="69"/>
      <c r="L16" s="69"/>
      <c r="M16" s="69"/>
      <c r="N16" s="69"/>
      <c r="O16" s="69"/>
      <c r="P16" s="69"/>
      <c r="Q16" s="69"/>
      <c r="R16" s="69"/>
      <c r="S16" s="67"/>
      <c r="T16" s="79"/>
      <c r="U16" s="34"/>
      <c r="V16" s="34"/>
      <c r="W16" s="34"/>
    </row>
    <row r="17" spans="1:23" ht="23.25" customHeight="1" x14ac:dyDescent="0.35">
      <c r="A17" s="58"/>
      <c r="B17" s="61"/>
      <c r="C17" s="61"/>
      <c r="D17" s="61"/>
      <c r="E17" s="39"/>
      <c r="F17" s="1" t="s">
        <v>48</v>
      </c>
      <c r="G17" s="2">
        <f>G43</f>
        <v>0</v>
      </c>
      <c r="H17" s="2">
        <f t="shared" ref="H17:R18" si="15">H43</f>
        <v>0</v>
      </c>
      <c r="I17" s="2">
        <f t="shared" si="15"/>
        <v>0</v>
      </c>
      <c r="J17" s="2">
        <f t="shared" si="15"/>
        <v>0</v>
      </c>
      <c r="K17" s="2">
        <f t="shared" si="15"/>
        <v>0</v>
      </c>
      <c r="L17" s="2">
        <f t="shared" si="15"/>
        <v>500</v>
      </c>
      <c r="M17" s="2">
        <f t="shared" si="15"/>
        <v>0</v>
      </c>
      <c r="N17" s="2">
        <f t="shared" si="15"/>
        <v>0</v>
      </c>
      <c r="O17" s="2">
        <f t="shared" si="15"/>
        <v>0</v>
      </c>
      <c r="P17" s="2">
        <f t="shared" si="15"/>
        <v>0</v>
      </c>
      <c r="Q17" s="2">
        <f t="shared" si="15"/>
        <v>0</v>
      </c>
      <c r="R17" s="2">
        <f t="shared" si="15"/>
        <v>0</v>
      </c>
      <c r="S17" s="92">
        <f>SUM(G17:R17)</f>
        <v>500</v>
      </c>
      <c r="T17" s="79"/>
      <c r="U17" s="2">
        <f>U43</f>
        <v>500</v>
      </c>
      <c r="V17" s="34"/>
      <c r="W17" s="2">
        <f t="shared" ref="W17:W18" si="16">W43</f>
        <v>1000</v>
      </c>
    </row>
    <row r="18" spans="1:23" ht="23.25" customHeight="1" x14ac:dyDescent="0.35">
      <c r="A18" s="58"/>
      <c r="B18" s="61"/>
      <c r="C18" s="61"/>
      <c r="D18" s="61"/>
      <c r="E18" s="39"/>
      <c r="F18" s="1" t="s">
        <v>46</v>
      </c>
      <c r="G18" s="2">
        <f>G44</f>
        <v>0</v>
      </c>
      <c r="H18" s="2">
        <f t="shared" si="15"/>
        <v>0</v>
      </c>
      <c r="I18" s="2">
        <f t="shared" si="15"/>
        <v>0</v>
      </c>
      <c r="J18" s="2">
        <f t="shared" si="15"/>
        <v>0</v>
      </c>
      <c r="K18" s="2">
        <f t="shared" si="15"/>
        <v>0</v>
      </c>
      <c r="L18" s="2">
        <f t="shared" si="15"/>
        <v>500</v>
      </c>
      <c r="M18" s="2">
        <f t="shared" si="15"/>
        <v>0</v>
      </c>
      <c r="N18" s="2">
        <f t="shared" si="15"/>
        <v>0</v>
      </c>
      <c r="O18" s="2">
        <f t="shared" si="15"/>
        <v>0</v>
      </c>
      <c r="P18" s="2">
        <f t="shared" si="15"/>
        <v>0</v>
      </c>
      <c r="Q18" s="2">
        <f t="shared" si="15"/>
        <v>0</v>
      </c>
      <c r="R18" s="2">
        <f t="shared" si="15"/>
        <v>0</v>
      </c>
      <c r="S18" s="92">
        <f>SUM(G18:R18)</f>
        <v>500</v>
      </c>
      <c r="T18" s="79"/>
      <c r="U18" s="2">
        <f>U44</f>
        <v>500</v>
      </c>
      <c r="V18" s="34"/>
      <c r="W18" s="2">
        <f t="shared" si="16"/>
        <v>1000</v>
      </c>
    </row>
    <row r="19" spans="1:23" ht="23.25" customHeight="1" x14ac:dyDescent="0.35">
      <c r="A19" s="58"/>
      <c r="B19" s="61"/>
      <c r="C19" s="61"/>
      <c r="D19" s="61"/>
      <c r="E19" s="39"/>
      <c r="F19" s="78"/>
      <c r="G19" s="7"/>
      <c r="H19" s="7"/>
      <c r="I19" s="7"/>
      <c r="J19" s="7"/>
      <c r="K19" s="7"/>
      <c r="L19" s="7"/>
      <c r="M19" s="7"/>
      <c r="N19" s="7"/>
      <c r="O19" s="7"/>
      <c r="P19" s="7"/>
      <c r="Q19" s="7"/>
      <c r="R19" s="7"/>
      <c r="S19" s="7"/>
      <c r="T19" s="79"/>
      <c r="U19" s="34"/>
      <c r="V19" s="34"/>
      <c r="W19" s="34"/>
    </row>
    <row r="20" spans="1:23" x14ac:dyDescent="0.35">
      <c r="A20" s="58"/>
      <c r="B20" s="61"/>
      <c r="C20" s="61"/>
      <c r="D20" s="61"/>
      <c r="E20" s="39"/>
      <c r="F20" s="78"/>
      <c r="G20" s="7"/>
      <c r="H20" s="7"/>
      <c r="I20" s="7"/>
      <c r="J20" s="7"/>
      <c r="K20" s="7"/>
      <c r="L20" s="7"/>
      <c r="M20" s="7"/>
      <c r="N20" s="7"/>
      <c r="O20" s="7"/>
      <c r="P20" s="7"/>
      <c r="Q20" s="7"/>
      <c r="R20" s="7"/>
      <c r="S20" s="7"/>
      <c r="T20" s="79"/>
      <c r="U20" s="34"/>
      <c r="V20" s="34"/>
      <c r="W20" s="34"/>
    </row>
    <row r="21" spans="1:23" ht="23.25" customHeight="1" x14ac:dyDescent="0.35">
      <c r="B21" s="1" t="str">
        <f>IF(C22="F","Apprenticeship framework title",IF(C22="S","Apprenticeship standard title","Choose F or S below"))</f>
        <v>Apprenticeship standard title</v>
      </c>
      <c r="C21" s="112" t="s">
        <v>34</v>
      </c>
      <c r="D21" s="113"/>
      <c r="E21" s="37"/>
      <c r="F21" s="35"/>
      <c r="G21" s="36">
        <v>43313</v>
      </c>
      <c r="H21" s="36">
        <v>43344</v>
      </c>
      <c r="I21" s="36">
        <v>43374</v>
      </c>
      <c r="J21" s="36">
        <v>43405</v>
      </c>
      <c r="K21" s="36">
        <v>43435</v>
      </c>
      <c r="L21" s="36">
        <v>43466</v>
      </c>
      <c r="M21" s="36">
        <v>43497</v>
      </c>
      <c r="N21" s="36">
        <v>43525</v>
      </c>
      <c r="O21" s="36">
        <v>43556</v>
      </c>
      <c r="P21" s="36">
        <v>43586</v>
      </c>
      <c r="Q21" s="36">
        <v>43617</v>
      </c>
      <c r="R21" s="36">
        <v>43647</v>
      </c>
      <c r="S21" s="12" t="s">
        <v>16</v>
      </c>
      <c r="T21" s="31"/>
      <c r="U21" s="29"/>
      <c r="V21" s="29"/>
      <c r="W21" s="29"/>
    </row>
    <row r="22" spans="1:23" ht="23.25" customHeight="1" x14ac:dyDescent="0.35">
      <c r="B22" s="1" t="s">
        <v>30</v>
      </c>
      <c r="C22" s="26" t="s">
        <v>57</v>
      </c>
      <c r="D22" s="95" t="str">
        <f>IF(C22="F"," ",IF(C22="S"," ","F or S?"))</f>
        <v xml:space="preserve"> </v>
      </c>
      <c r="E22" s="32"/>
      <c r="F22" s="1" t="s">
        <v>25</v>
      </c>
      <c r="G22" s="57">
        <v>0</v>
      </c>
      <c r="H22" s="57">
        <v>0</v>
      </c>
      <c r="I22" s="57">
        <v>0</v>
      </c>
      <c r="J22" s="57">
        <v>0</v>
      </c>
      <c r="K22" s="57">
        <v>0</v>
      </c>
      <c r="L22" s="57">
        <v>0</v>
      </c>
      <c r="M22" s="57">
        <v>0</v>
      </c>
      <c r="N22" s="57">
        <v>0</v>
      </c>
      <c r="O22" s="57">
        <v>0</v>
      </c>
      <c r="P22" s="57">
        <v>0</v>
      </c>
      <c r="Q22" s="57">
        <v>0</v>
      </c>
      <c r="R22" s="57">
        <v>0</v>
      </c>
      <c r="S22" s="81">
        <f>SUM(G22:R22)</f>
        <v>0</v>
      </c>
      <c r="T22" s="31"/>
      <c r="U22" s="29"/>
      <c r="V22" s="29"/>
      <c r="W22" s="29"/>
    </row>
    <row r="23" spans="1:23" ht="23.25" customHeight="1" x14ac:dyDescent="0.35">
      <c r="B23" s="1" t="s">
        <v>36</v>
      </c>
      <c r="C23" s="26">
        <v>2000</v>
      </c>
      <c r="D23" s="40"/>
      <c r="E23" s="32"/>
      <c r="F23" s="1" t="s">
        <v>26</v>
      </c>
      <c r="G23" s="57">
        <v>0</v>
      </c>
      <c r="H23" s="57">
        <v>0</v>
      </c>
      <c r="I23" s="57">
        <v>0</v>
      </c>
      <c r="J23" s="57">
        <v>1</v>
      </c>
      <c r="K23" s="57">
        <v>0</v>
      </c>
      <c r="L23" s="57">
        <v>0</v>
      </c>
      <c r="M23" s="57">
        <v>0</v>
      </c>
      <c r="N23" s="57">
        <v>0</v>
      </c>
      <c r="O23" s="57">
        <v>0</v>
      </c>
      <c r="P23" s="57">
        <v>0</v>
      </c>
      <c r="Q23" s="57">
        <v>0</v>
      </c>
      <c r="R23" s="57">
        <v>0</v>
      </c>
      <c r="S23" s="81">
        <f>SUM(G23:R23)</f>
        <v>1</v>
      </c>
      <c r="T23" s="31"/>
      <c r="U23" s="29"/>
      <c r="V23" s="29"/>
      <c r="W23" s="29"/>
    </row>
    <row r="24" spans="1:23" ht="23.25" customHeight="1" x14ac:dyDescent="0.35">
      <c r="B24" s="1" t="s">
        <v>35</v>
      </c>
      <c r="C24" s="26">
        <v>2100</v>
      </c>
      <c r="D24" s="40" t="str">
        <f>IF(C24&gt;C23,"WARNING"," ")</f>
        <v>WARNING</v>
      </c>
      <c r="E24" s="32"/>
      <c r="F24" s="27" t="s">
        <v>27</v>
      </c>
      <c r="G24" s="10">
        <f>SUM(G22:G23)</f>
        <v>0</v>
      </c>
      <c r="H24" s="10">
        <f t="shared" ref="H24:O24" si="17">SUM(H22:H23)</f>
        <v>0</v>
      </c>
      <c r="I24" s="10">
        <f t="shared" si="17"/>
        <v>0</v>
      </c>
      <c r="J24" s="10">
        <f t="shared" si="17"/>
        <v>1</v>
      </c>
      <c r="K24" s="10">
        <f t="shared" si="17"/>
        <v>0</v>
      </c>
      <c r="L24" s="10">
        <f t="shared" si="17"/>
        <v>0</v>
      </c>
      <c r="M24" s="10">
        <f t="shared" si="17"/>
        <v>0</v>
      </c>
      <c r="N24" s="10">
        <f t="shared" si="17"/>
        <v>0</v>
      </c>
      <c r="O24" s="10">
        <f t="shared" si="17"/>
        <v>0</v>
      </c>
      <c r="P24" s="10">
        <f>SUM(P22:P23)</f>
        <v>0</v>
      </c>
      <c r="Q24" s="10">
        <f>SUM(Q22:Q23)</f>
        <v>0</v>
      </c>
      <c r="R24" s="10">
        <f>SUM(R22:R23)</f>
        <v>0</v>
      </c>
      <c r="S24" s="10">
        <f>SUM(S22:S23)</f>
        <v>1</v>
      </c>
      <c r="T24" s="31"/>
      <c r="U24" s="29"/>
      <c r="V24" s="29"/>
      <c r="W24" s="29"/>
    </row>
    <row r="25" spans="1:23" ht="23.25" customHeight="1" x14ac:dyDescent="0.35">
      <c r="B25" s="1" t="s">
        <v>42</v>
      </c>
      <c r="C25" s="57">
        <v>12</v>
      </c>
      <c r="D25" s="40"/>
      <c r="E25" s="32"/>
      <c r="F25" s="9" t="s">
        <v>28</v>
      </c>
      <c r="G25" s="57">
        <v>0</v>
      </c>
      <c r="H25" s="57">
        <v>0</v>
      </c>
      <c r="I25" s="57">
        <v>0</v>
      </c>
      <c r="J25" s="57">
        <v>0</v>
      </c>
      <c r="K25" s="57">
        <v>0</v>
      </c>
      <c r="L25" s="57">
        <v>0</v>
      </c>
      <c r="M25" s="57">
        <v>0</v>
      </c>
      <c r="N25" s="57">
        <v>0</v>
      </c>
      <c r="O25" s="57">
        <v>0</v>
      </c>
      <c r="P25" s="57">
        <v>0</v>
      </c>
      <c r="Q25" s="57">
        <v>0</v>
      </c>
      <c r="R25" s="57">
        <v>0</v>
      </c>
      <c r="S25" s="10">
        <f>SUM(G25:R25)</f>
        <v>0</v>
      </c>
      <c r="T25" s="31"/>
      <c r="U25" s="29"/>
      <c r="V25" s="29"/>
      <c r="W25" s="29"/>
    </row>
    <row r="26" spans="1:23" s="11" customFormat="1" ht="23.25" customHeight="1" x14ac:dyDescent="0.35">
      <c r="A26" s="55"/>
      <c r="B26" s="1" t="s">
        <v>43</v>
      </c>
      <c r="C26" s="77" t="s">
        <v>58</v>
      </c>
      <c r="D26" s="93" t="str">
        <f>IF(C26="Y","ACT1",IF(C26="N","ACT2","Y or N?"))</f>
        <v>ACT2</v>
      </c>
      <c r="E26" s="46"/>
      <c r="F26" s="13" t="s">
        <v>29</v>
      </c>
      <c r="G26" s="14">
        <f t="shared" ref="G26:R26" si="18">G24+G25</f>
        <v>0</v>
      </c>
      <c r="H26" s="14">
        <f t="shared" si="18"/>
        <v>0</v>
      </c>
      <c r="I26" s="14">
        <f t="shared" si="18"/>
        <v>0</v>
      </c>
      <c r="J26" s="14">
        <f t="shared" si="18"/>
        <v>1</v>
      </c>
      <c r="K26" s="14">
        <f t="shared" si="18"/>
        <v>0</v>
      </c>
      <c r="L26" s="14">
        <f t="shared" si="18"/>
        <v>0</v>
      </c>
      <c r="M26" s="14">
        <f t="shared" si="18"/>
        <v>0</v>
      </c>
      <c r="N26" s="14">
        <f t="shared" si="18"/>
        <v>0</v>
      </c>
      <c r="O26" s="14">
        <f t="shared" si="18"/>
        <v>0</v>
      </c>
      <c r="P26" s="14">
        <f>P24+P25</f>
        <v>0</v>
      </c>
      <c r="Q26" s="14">
        <f t="shared" si="18"/>
        <v>0</v>
      </c>
      <c r="R26" s="14">
        <f t="shared" si="18"/>
        <v>0</v>
      </c>
      <c r="S26" s="14">
        <f>S24+S25</f>
        <v>1</v>
      </c>
      <c r="T26" s="44"/>
      <c r="U26" s="30"/>
      <c r="V26" s="30"/>
      <c r="W26" s="30"/>
    </row>
    <row r="27" spans="1:23" s="11" customFormat="1" ht="23.25" customHeight="1" x14ac:dyDescent="0.35">
      <c r="A27" s="55"/>
      <c r="B27" s="94">
        <f>IF(C26="Y",100%,IF(C26="N",90%,0))</f>
        <v>0.9</v>
      </c>
      <c r="D27" s="64"/>
      <c r="E27" s="41"/>
      <c r="F27" s="105" t="s">
        <v>37</v>
      </c>
      <c r="G27" s="106"/>
      <c r="H27" s="42"/>
      <c r="I27" s="42"/>
      <c r="J27" s="42"/>
      <c r="K27" s="42"/>
      <c r="L27" s="42"/>
      <c r="M27" s="42"/>
      <c r="N27" s="42"/>
      <c r="O27" s="42"/>
      <c r="P27" s="42"/>
      <c r="Q27" s="42"/>
      <c r="R27" s="42"/>
      <c r="S27" s="42"/>
      <c r="T27" s="30"/>
      <c r="U27" s="30"/>
      <c r="V27" s="30"/>
      <c r="W27" s="30"/>
    </row>
    <row r="28" spans="1:23" ht="23.25" customHeight="1" x14ac:dyDescent="0.35">
      <c r="B28" s="1" t="s">
        <v>13</v>
      </c>
      <c r="C28" s="2">
        <f>C35/C25</f>
        <v>140</v>
      </c>
      <c r="D28" s="64"/>
      <c r="E28" s="40"/>
      <c r="F28" s="49"/>
      <c r="G28" s="36">
        <v>43313</v>
      </c>
      <c r="H28" s="36">
        <v>43344</v>
      </c>
      <c r="I28" s="36">
        <v>43374</v>
      </c>
      <c r="J28" s="36">
        <v>43405</v>
      </c>
      <c r="K28" s="36">
        <v>43435</v>
      </c>
      <c r="L28" s="36">
        <v>43466</v>
      </c>
      <c r="M28" s="36">
        <v>43497</v>
      </c>
      <c r="N28" s="36">
        <v>43525</v>
      </c>
      <c r="O28" s="36">
        <v>43556</v>
      </c>
      <c r="P28" s="36">
        <v>43586</v>
      </c>
      <c r="Q28" s="36">
        <v>43617</v>
      </c>
      <c r="R28" s="36">
        <v>43647</v>
      </c>
      <c r="S28" s="12" t="s">
        <v>16</v>
      </c>
      <c r="T28" s="31"/>
      <c r="U28" s="33"/>
      <c r="V28" s="29"/>
      <c r="W28" s="33"/>
    </row>
    <row r="29" spans="1:23" ht="23.25" customHeight="1" x14ac:dyDescent="0.35">
      <c r="B29" s="1" t="s">
        <v>1</v>
      </c>
      <c r="C29" s="2">
        <f>C28*B27</f>
        <v>126</v>
      </c>
      <c r="D29" s="64"/>
      <c r="E29" s="48"/>
      <c r="F29" s="1" t="s">
        <v>0</v>
      </c>
      <c r="G29" s="81">
        <f t="shared" ref="G29:Q29" si="19">G22+G23</f>
        <v>0</v>
      </c>
      <c r="H29" s="81">
        <f t="shared" si="19"/>
        <v>0</v>
      </c>
      <c r="I29" s="81">
        <f t="shared" si="19"/>
        <v>0</v>
      </c>
      <c r="J29" s="81">
        <f t="shared" si="19"/>
        <v>1</v>
      </c>
      <c r="K29" s="81">
        <f t="shared" si="19"/>
        <v>0</v>
      </c>
      <c r="L29" s="81">
        <f t="shared" si="19"/>
        <v>0</v>
      </c>
      <c r="M29" s="81">
        <f t="shared" si="19"/>
        <v>0</v>
      </c>
      <c r="N29" s="81">
        <f t="shared" si="19"/>
        <v>0</v>
      </c>
      <c r="O29" s="81">
        <f t="shared" si="19"/>
        <v>0</v>
      </c>
      <c r="P29" s="81">
        <f t="shared" si="19"/>
        <v>0</v>
      </c>
      <c r="Q29" s="81">
        <f t="shared" si="19"/>
        <v>0</v>
      </c>
      <c r="R29" s="81">
        <f>R22+R23</f>
        <v>0</v>
      </c>
      <c r="S29" s="81">
        <f>SUM(G29:Q29)</f>
        <v>1</v>
      </c>
      <c r="T29" s="47"/>
      <c r="U29" s="12" t="s">
        <v>56</v>
      </c>
      <c r="V29" s="47"/>
      <c r="W29" s="12" t="s">
        <v>16</v>
      </c>
    </row>
    <row r="30" spans="1:23" ht="23.25" customHeight="1" x14ac:dyDescent="0.35">
      <c r="B30" s="1" t="s">
        <v>14</v>
      </c>
      <c r="C30" s="2">
        <v>1000</v>
      </c>
      <c r="D30" s="64"/>
      <c r="E30" s="48"/>
      <c r="F30" s="1" t="s">
        <v>31</v>
      </c>
      <c r="G30" s="2">
        <f>G37+G38+G39+G40</f>
        <v>0</v>
      </c>
      <c r="H30" s="2">
        <f t="shared" ref="H30:Q30" si="20">H37+H38+H39+H40</f>
        <v>0</v>
      </c>
      <c r="I30" s="2">
        <f t="shared" si="20"/>
        <v>0</v>
      </c>
      <c r="J30" s="2">
        <f t="shared" si="20"/>
        <v>126</v>
      </c>
      <c r="K30" s="2">
        <f t="shared" si="20"/>
        <v>126</v>
      </c>
      <c r="L30" s="2">
        <f t="shared" si="20"/>
        <v>126</v>
      </c>
      <c r="M30" s="2">
        <f t="shared" si="20"/>
        <v>126</v>
      </c>
      <c r="N30" s="2">
        <f t="shared" si="20"/>
        <v>126</v>
      </c>
      <c r="O30" s="2">
        <f t="shared" si="20"/>
        <v>126</v>
      </c>
      <c r="P30" s="2">
        <f t="shared" si="20"/>
        <v>126</v>
      </c>
      <c r="Q30" s="2">
        <f t="shared" si="20"/>
        <v>126</v>
      </c>
      <c r="R30" s="2">
        <f>R37+R38+R39+R40</f>
        <v>126</v>
      </c>
      <c r="S30" s="2">
        <f>S37+S38+S39+S40</f>
        <v>1134</v>
      </c>
      <c r="T30" s="50"/>
      <c r="U30" s="2">
        <f>U37+U38+U39+U40</f>
        <v>756</v>
      </c>
      <c r="V30" s="47"/>
      <c r="W30" s="2">
        <f>W37+W38+W39+W40</f>
        <v>1890</v>
      </c>
    </row>
    <row r="31" spans="1:23" ht="23.25" customHeight="1" x14ac:dyDescent="0.35">
      <c r="B31" s="1" t="s">
        <v>15</v>
      </c>
      <c r="C31" s="2">
        <v>1000</v>
      </c>
      <c r="D31" s="64"/>
      <c r="E31" s="48"/>
      <c r="F31" s="1" t="s">
        <v>20</v>
      </c>
      <c r="G31" s="81">
        <f t="shared" ref="G31:R31" si="21">G25</f>
        <v>0</v>
      </c>
      <c r="H31" s="81">
        <f t="shared" si="21"/>
        <v>0</v>
      </c>
      <c r="I31" s="81">
        <f t="shared" si="21"/>
        <v>0</v>
      </c>
      <c r="J31" s="81">
        <f t="shared" si="21"/>
        <v>0</v>
      </c>
      <c r="K31" s="81">
        <f t="shared" si="21"/>
        <v>0</v>
      </c>
      <c r="L31" s="81">
        <f t="shared" si="21"/>
        <v>0</v>
      </c>
      <c r="M31" s="81">
        <f t="shared" si="21"/>
        <v>0</v>
      </c>
      <c r="N31" s="81">
        <f t="shared" si="21"/>
        <v>0</v>
      </c>
      <c r="O31" s="81">
        <f t="shared" si="21"/>
        <v>0</v>
      </c>
      <c r="P31" s="81">
        <f t="shared" si="21"/>
        <v>0</v>
      </c>
      <c r="Q31" s="81">
        <f t="shared" si="21"/>
        <v>0</v>
      </c>
      <c r="R31" s="81">
        <f t="shared" si="21"/>
        <v>0</v>
      </c>
      <c r="S31" s="81">
        <f>SUM(G31:Q31)</f>
        <v>0</v>
      </c>
      <c r="T31" s="31"/>
      <c r="U31" s="45"/>
      <c r="V31" s="29"/>
      <c r="W31" s="45"/>
    </row>
    <row r="32" spans="1:23" ht="23.25" customHeight="1" x14ac:dyDescent="0.35">
      <c r="B32" s="3" t="s">
        <v>19</v>
      </c>
      <c r="C32" s="2">
        <f>IF(C22="F",C23*0.2,0)</f>
        <v>0</v>
      </c>
      <c r="D32" s="66"/>
      <c r="E32" s="48"/>
      <c r="F32" s="1" t="s">
        <v>32</v>
      </c>
      <c r="G32" s="2">
        <f>G41+G42</f>
        <v>0</v>
      </c>
      <c r="H32" s="2">
        <f t="shared" ref="H32:R32" si="22">H41+H42</f>
        <v>0</v>
      </c>
      <c r="I32" s="2">
        <f t="shared" si="22"/>
        <v>0</v>
      </c>
      <c r="J32" s="2">
        <f t="shared" si="22"/>
        <v>0</v>
      </c>
      <c r="K32" s="2">
        <f t="shared" si="22"/>
        <v>0</v>
      </c>
      <c r="L32" s="2">
        <f t="shared" si="22"/>
        <v>0</v>
      </c>
      <c r="M32" s="2">
        <f t="shared" si="22"/>
        <v>0</v>
      </c>
      <c r="N32" s="2">
        <f t="shared" si="22"/>
        <v>0</v>
      </c>
      <c r="O32" s="2">
        <f t="shared" si="22"/>
        <v>0</v>
      </c>
      <c r="P32" s="2">
        <f t="shared" si="22"/>
        <v>0</v>
      </c>
      <c r="Q32" s="2">
        <f t="shared" si="22"/>
        <v>0</v>
      </c>
      <c r="R32" s="2">
        <f t="shared" si="22"/>
        <v>0</v>
      </c>
      <c r="S32" s="2">
        <f>S41+S42</f>
        <v>0</v>
      </c>
      <c r="T32" s="50"/>
      <c r="U32" s="2">
        <f>U39+U40+U41+U42</f>
        <v>756</v>
      </c>
      <c r="V32" s="47"/>
      <c r="W32" s="2">
        <f>W39+W40+W41+W42</f>
        <v>1890</v>
      </c>
    </row>
    <row r="33" spans="2:23" ht="23.25" customHeight="1" x14ac:dyDescent="0.35">
      <c r="B33" s="3" t="s">
        <v>24</v>
      </c>
      <c r="C33" s="2">
        <f>(C32/C25)*0.8</f>
        <v>0</v>
      </c>
      <c r="D33" s="65"/>
      <c r="E33" s="48"/>
      <c r="F33" s="1" t="s">
        <v>21</v>
      </c>
      <c r="G33" s="81">
        <f t="shared" ref="G33:R33" si="23">G29+G31</f>
        <v>0</v>
      </c>
      <c r="H33" s="81">
        <f t="shared" si="23"/>
        <v>0</v>
      </c>
      <c r="I33" s="81">
        <f t="shared" si="23"/>
        <v>0</v>
      </c>
      <c r="J33" s="81">
        <f t="shared" si="23"/>
        <v>1</v>
      </c>
      <c r="K33" s="81">
        <f t="shared" si="23"/>
        <v>0</v>
      </c>
      <c r="L33" s="81">
        <f t="shared" si="23"/>
        <v>0</v>
      </c>
      <c r="M33" s="81">
        <f t="shared" si="23"/>
        <v>0</v>
      </c>
      <c r="N33" s="81">
        <f t="shared" si="23"/>
        <v>0</v>
      </c>
      <c r="O33" s="81">
        <f t="shared" si="23"/>
        <v>0</v>
      </c>
      <c r="P33" s="81">
        <f t="shared" si="23"/>
        <v>0</v>
      </c>
      <c r="Q33" s="81">
        <f t="shared" si="23"/>
        <v>0</v>
      </c>
      <c r="R33" s="81">
        <f t="shared" si="23"/>
        <v>0</v>
      </c>
      <c r="S33" s="81">
        <f>SUM(G33:Q33)</f>
        <v>1</v>
      </c>
      <c r="T33" s="31"/>
      <c r="U33" s="45"/>
      <c r="V33" s="29"/>
      <c r="W33" s="45"/>
    </row>
    <row r="34" spans="2:23" ht="23.25" customHeight="1" x14ac:dyDescent="0.35">
      <c r="B34" s="3" t="s">
        <v>23</v>
      </c>
      <c r="C34" s="2">
        <f>C32*0.2</f>
        <v>0</v>
      </c>
      <c r="D34" s="62"/>
      <c r="E34" s="48"/>
      <c r="F34" s="1" t="s">
        <v>33</v>
      </c>
      <c r="G34" s="2">
        <f>G32+G30</f>
        <v>0</v>
      </c>
      <c r="H34" s="2">
        <f t="shared" ref="H34:R34" si="24">H32+H30</f>
        <v>0</v>
      </c>
      <c r="I34" s="2">
        <f t="shared" si="24"/>
        <v>0</v>
      </c>
      <c r="J34" s="2">
        <f t="shared" si="24"/>
        <v>126</v>
      </c>
      <c r="K34" s="2">
        <f t="shared" si="24"/>
        <v>126</v>
      </c>
      <c r="L34" s="2">
        <f t="shared" si="24"/>
        <v>126</v>
      </c>
      <c r="M34" s="2">
        <f t="shared" si="24"/>
        <v>126</v>
      </c>
      <c r="N34" s="2">
        <f t="shared" si="24"/>
        <v>126</v>
      </c>
      <c r="O34" s="2">
        <f t="shared" si="24"/>
        <v>126</v>
      </c>
      <c r="P34" s="2">
        <f t="shared" si="24"/>
        <v>126</v>
      </c>
      <c r="Q34" s="2">
        <f t="shared" si="24"/>
        <v>126</v>
      </c>
      <c r="R34" s="2">
        <f t="shared" si="24"/>
        <v>126</v>
      </c>
      <c r="S34" s="2">
        <f>S32+S30</f>
        <v>1134</v>
      </c>
      <c r="T34" s="47"/>
      <c r="U34" s="2">
        <f>U41+U42+U43+U44</f>
        <v>1000</v>
      </c>
      <c r="V34" s="47"/>
      <c r="W34" s="2">
        <f>W41+W42+W43+W44</f>
        <v>2000</v>
      </c>
    </row>
    <row r="35" spans="2:23" ht="23.25" customHeight="1" x14ac:dyDescent="0.35">
      <c r="B35" s="1" t="s">
        <v>2</v>
      </c>
      <c r="C35" s="4">
        <f>C24*0.8</f>
        <v>1680</v>
      </c>
      <c r="D35" s="64"/>
      <c r="E35" s="31"/>
      <c r="F35" s="29"/>
      <c r="G35" s="51"/>
      <c r="H35" s="33"/>
      <c r="I35" s="33"/>
      <c r="J35" s="33"/>
      <c r="K35" s="33"/>
      <c r="L35" s="33"/>
      <c r="M35" s="33"/>
      <c r="N35" s="33"/>
      <c r="O35" s="33"/>
      <c r="P35" s="33"/>
      <c r="Q35" s="33"/>
      <c r="R35" s="33"/>
      <c r="S35" s="33"/>
      <c r="T35" s="29"/>
      <c r="U35" s="33"/>
      <c r="V35" s="29"/>
      <c r="W35" s="33"/>
    </row>
    <row r="36" spans="2:23" ht="23.25" customHeight="1" x14ac:dyDescent="0.35">
      <c r="B36" s="1" t="s">
        <v>3</v>
      </c>
      <c r="C36" s="4">
        <f>C24*0.2</f>
        <v>420</v>
      </c>
      <c r="D36" s="64"/>
      <c r="E36" s="31"/>
      <c r="F36" s="35"/>
      <c r="G36" s="36">
        <v>43313</v>
      </c>
      <c r="H36" s="36">
        <v>43344</v>
      </c>
      <c r="I36" s="36">
        <v>43374</v>
      </c>
      <c r="J36" s="36">
        <v>43405</v>
      </c>
      <c r="K36" s="36">
        <v>43435</v>
      </c>
      <c r="L36" s="36">
        <v>43466</v>
      </c>
      <c r="M36" s="36">
        <v>43497</v>
      </c>
      <c r="N36" s="36">
        <v>43525</v>
      </c>
      <c r="O36" s="36">
        <v>43556</v>
      </c>
      <c r="P36" s="36">
        <v>43586</v>
      </c>
      <c r="Q36" s="36">
        <v>43617</v>
      </c>
      <c r="R36" s="36">
        <v>43647</v>
      </c>
      <c r="S36" s="12" t="s">
        <v>16</v>
      </c>
      <c r="T36" s="47"/>
      <c r="U36" s="12" t="s">
        <v>56</v>
      </c>
      <c r="V36" s="47"/>
      <c r="W36" s="12" t="s">
        <v>16</v>
      </c>
    </row>
    <row r="37" spans="2:23" ht="23.25" customHeight="1" x14ac:dyDescent="0.35">
      <c r="B37" s="1" t="s">
        <v>38</v>
      </c>
      <c r="C37" s="4">
        <f>C35*B27</f>
        <v>1512</v>
      </c>
      <c r="D37" s="64"/>
      <c r="E37" s="48"/>
      <c r="F37" s="3" t="s">
        <v>4</v>
      </c>
      <c r="G37" s="4">
        <f>G52+G65+G78+G91+G104+G117+G130+G143+G156+G169+G182</f>
        <v>0</v>
      </c>
      <c r="H37" s="4">
        <f t="shared" ref="H37:Q37" si="25">H52+H65+H78+H91+H104+H117+H130+H143+H156+H169+H182</f>
        <v>0</v>
      </c>
      <c r="I37" s="4">
        <f t="shared" si="25"/>
        <v>0</v>
      </c>
      <c r="J37" s="4">
        <f t="shared" si="25"/>
        <v>0</v>
      </c>
      <c r="K37" s="4">
        <f t="shared" si="25"/>
        <v>0</v>
      </c>
      <c r="L37" s="4">
        <f t="shared" si="25"/>
        <v>0</v>
      </c>
      <c r="M37" s="4">
        <f t="shared" si="25"/>
        <v>0</v>
      </c>
      <c r="N37" s="4">
        <f t="shared" si="25"/>
        <v>0</v>
      </c>
      <c r="O37" s="4">
        <f t="shared" si="25"/>
        <v>0</v>
      </c>
      <c r="P37" s="4">
        <f t="shared" si="25"/>
        <v>0</v>
      </c>
      <c r="Q37" s="4">
        <f t="shared" si="25"/>
        <v>0</v>
      </c>
      <c r="R37" s="4">
        <f t="shared" ref="R37:S46" si="26">R52+R65+R78+R91+R104+R117+R130+R143+R156+R169+R182+R195</f>
        <v>0</v>
      </c>
      <c r="S37" s="4">
        <f t="shared" si="26"/>
        <v>0</v>
      </c>
      <c r="T37" s="52"/>
      <c r="U37" s="4">
        <f t="shared" ref="U37:U46" si="27">U52+U65+U78+U91+U104+U117+U130+U143+U156+U169+U182+U195</f>
        <v>0</v>
      </c>
      <c r="V37" s="52"/>
      <c r="W37" s="4">
        <f t="shared" ref="W37:W46" si="28">W52+W65+W78+W91+W104+W117+W130+W143+W156+W169+W182+W195</f>
        <v>0</v>
      </c>
    </row>
    <row r="38" spans="2:23" ht="23.25" customHeight="1" x14ac:dyDescent="0.35">
      <c r="B38" s="1" t="s">
        <v>39</v>
      </c>
      <c r="C38" s="4">
        <f>C36*B27</f>
        <v>378</v>
      </c>
      <c r="D38" s="64"/>
      <c r="E38" s="48"/>
      <c r="F38" s="3" t="s">
        <v>5</v>
      </c>
      <c r="G38" s="4">
        <f t="shared" ref="G38:Q45" si="29">G53+G66+G79+G92+G105+G118+G131+G144+G157+G170+G183</f>
        <v>0</v>
      </c>
      <c r="H38" s="4">
        <f t="shared" si="29"/>
        <v>0</v>
      </c>
      <c r="I38" s="4">
        <f t="shared" si="29"/>
        <v>0</v>
      </c>
      <c r="J38" s="4">
        <f t="shared" si="29"/>
        <v>0</v>
      </c>
      <c r="K38" s="4">
        <f t="shared" si="29"/>
        <v>0</v>
      </c>
      <c r="L38" s="4">
        <f t="shared" si="29"/>
        <v>0</v>
      </c>
      <c r="M38" s="4">
        <f t="shared" si="29"/>
        <v>0</v>
      </c>
      <c r="N38" s="4">
        <f t="shared" si="29"/>
        <v>0</v>
      </c>
      <c r="O38" s="4">
        <f t="shared" si="29"/>
        <v>0</v>
      </c>
      <c r="P38" s="4">
        <f t="shared" si="29"/>
        <v>0</v>
      </c>
      <c r="Q38" s="4">
        <f t="shared" si="29"/>
        <v>0</v>
      </c>
      <c r="R38" s="4">
        <f t="shared" si="26"/>
        <v>0</v>
      </c>
      <c r="S38" s="4">
        <f t="shared" si="26"/>
        <v>0</v>
      </c>
      <c r="T38" s="52"/>
      <c r="U38" s="4">
        <f t="shared" si="27"/>
        <v>0</v>
      </c>
      <c r="V38" s="52"/>
      <c r="W38" s="4">
        <f t="shared" si="28"/>
        <v>0</v>
      </c>
    </row>
    <row r="39" spans="2:23" ht="23.25" customHeight="1" x14ac:dyDescent="0.35">
      <c r="D39" s="65"/>
      <c r="E39" s="48"/>
      <c r="F39" s="3" t="s">
        <v>6</v>
      </c>
      <c r="G39" s="4">
        <f t="shared" si="29"/>
        <v>0</v>
      </c>
      <c r="H39" s="4">
        <f t="shared" si="29"/>
        <v>0</v>
      </c>
      <c r="I39" s="4">
        <f t="shared" si="29"/>
        <v>0</v>
      </c>
      <c r="J39" s="4">
        <f t="shared" si="29"/>
        <v>126</v>
      </c>
      <c r="K39" s="4">
        <f t="shared" si="29"/>
        <v>126</v>
      </c>
      <c r="L39" s="4">
        <f t="shared" si="29"/>
        <v>126</v>
      </c>
      <c r="M39" s="4">
        <f t="shared" si="29"/>
        <v>126</v>
      </c>
      <c r="N39" s="4">
        <f t="shared" si="29"/>
        <v>126</v>
      </c>
      <c r="O39" s="4">
        <f t="shared" si="29"/>
        <v>126</v>
      </c>
      <c r="P39" s="4">
        <f t="shared" si="29"/>
        <v>126</v>
      </c>
      <c r="Q39" s="4">
        <f t="shared" si="29"/>
        <v>126</v>
      </c>
      <c r="R39" s="4">
        <f t="shared" si="26"/>
        <v>126</v>
      </c>
      <c r="S39" s="4">
        <f t="shared" si="26"/>
        <v>1134</v>
      </c>
      <c r="T39" s="52"/>
      <c r="U39" s="4">
        <f t="shared" si="27"/>
        <v>378</v>
      </c>
      <c r="V39" s="52"/>
      <c r="W39" s="4">
        <f t="shared" si="28"/>
        <v>1512</v>
      </c>
    </row>
    <row r="40" spans="2:23" ht="23.25" customHeight="1" x14ac:dyDescent="0.35">
      <c r="B40" s="5"/>
      <c r="C40" s="70"/>
      <c r="D40" s="71"/>
      <c r="E40" s="48"/>
      <c r="F40" s="3" t="s">
        <v>7</v>
      </c>
      <c r="G40" s="4">
        <f t="shared" si="29"/>
        <v>0</v>
      </c>
      <c r="H40" s="4">
        <f t="shared" si="29"/>
        <v>0</v>
      </c>
      <c r="I40" s="4">
        <f t="shared" si="29"/>
        <v>0</v>
      </c>
      <c r="J40" s="4">
        <f t="shared" si="29"/>
        <v>0</v>
      </c>
      <c r="K40" s="4">
        <f t="shared" si="29"/>
        <v>0</v>
      </c>
      <c r="L40" s="4">
        <f t="shared" si="29"/>
        <v>0</v>
      </c>
      <c r="M40" s="4">
        <f t="shared" si="29"/>
        <v>0</v>
      </c>
      <c r="N40" s="4">
        <f t="shared" si="29"/>
        <v>0</v>
      </c>
      <c r="O40" s="4">
        <f t="shared" si="29"/>
        <v>0</v>
      </c>
      <c r="P40" s="4">
        <f t="shared" si="29"/>
        <v>0</v>
      </c>
      <c r="Q40" s="4">
        <f t="shared" si="29"/>
        <v>0</v>
      </c>
      <c r="R40" s="4">
        <f t="shared" si="26"/>
        <v>0</v>
      </c>
      <c r="S40" s="4">
        <f t="shared" si="26"/>
        <v>0</v>
      </c>
      <c r="T40" s="52"/>
      <c r="U40" s="4">
        <f t="shared" si="27"/>
        <v>378</v>
      </c>
      <c r="V40" s="52"/>
      <c r="W40" s="4">
        <f t="shared" si="28"/>
        <v>378</v>
      </c>
    </row>
    <row r="41" spans="2:23" ht="23.25" customHeight="1" x14ac:dyDescent="0.35">
      <c r="B41" s="5"/>
      <c r="C41" s="65"/>
      <c r="D41" s="64"/>
      <c r="E41" s="48"/>
      <c r="F41" s="3" t="s">
        <v>8</v>
      </c>
      <c r="G41" s="4">
        <f t="shared" si="29"/>
        <v>0</v>
      </c>
      <c r="H41" s="4">
        <f t="shared" si="29"/>
        <v>0</v>
      </c>
      <c r="I41" s="4">
        <f t="shared" si="29"/>
        <v>0</v>
      </c>
      <c r="J41" s="4">
        <f t="shared" si="29"/>
        <v>0</v>
      </c>
      <c r="K41" s="4">
        <f t="shared" si="29"/>
        <v>0</v>
      </c>
      <c r="L41" s="4">
        <f t="shared" si="29"/>
        <v>0</v>
      </c>
      <c r="M41" s="4">
        <f t="shared" si="29"/>
        <v>0</v>
      </c>
      <c r="N41" s="4">
        <f t="shared" si="29"/>
        <v>0</v>
      </c>
      <c r="O41" s="4">
        <f t="shared" si="29"/>
        <v>0</v>
      </c>
      <c r="P41" s="4">
        <f t="shared" si="29"/>
        <v>0</v>
      </c>
      <c r="Q41" s="4">
        <f t="shared" si="29"/>
        <v>0</v>
      </c>
      <c r="R41" s="4">
        <f t="shared" si="26"/>
        <v>0</v>
      </c>
      <c r="S41" s="4">
        <f t="shared" si="26"/>
        <v>0</v>
      </c>
      <c r="T41" s="52"/>
      <c r="U41" s="4">
        <f t="shared" si="27"/>
        <v>0</v>
      </c>
      <c r="V41" s="52"/>
      <c r="W41" s="4">
        <f t="shared" si="28"/>
        <v>0</v>
      </c>
    </row>
    <row r="42" spans="2:23" ht="23.25" customHeight="1" x14ac:dyDescent="0.35">
      <c r="B42" s="63"/>
      <c r="C42" s="65"/>
      <c r="D42" s="64"/>
      <c r="E42" s="48"/>
      <c r="F42" s="3" t="s">
        <v>9</v>
      </c>
      <c r="G42" s="4">
        <f t="shared" si="29"/>
        <v>0</v>
      </c>
      <c r="H42" s="4">
        <f t="shared" si="29"/>
        <v>0</v>
      </c>
      <c r="I42" s="4">
        <f t="shared" si="29"/>
        <v>0</v>
      </c>
      <c r="J42" s="4">
        <f t="shared" si="29"/>
        <v>0</v>
      </c>
      <c r="K42" s="4">
        <f t="shared" si="29"/>
        <v>0</v>
      </c>
      <c r="L42" s="4">
        <f t="shared" si="29"/>
        <v>0</v>
      </c>
      <c r="M42" s="4">
        <f t="shared" si="29"/>
        <v>0</v>
      </c>
      <c r="N42" s="4">
        <f t="shared" si="29"/>
        <v>0</v>
      </c>
      <c r="O42" s="4">
        <f t="shared" si="29"/>
        <v>0</v>
      </c>
      <c r="P42" s="4">
        <f t="shared" si="29"/>
        <v>0</v>
      </c>
      <c r="Q42" s="4">
        <f t="shared" si="29"/>
        <v>0</v>
      </c>
      <c r="R42" s="4">
        <f t="shared" si="26"/>
        <v>0</v>
      </c>
      <c r="S42" s="4">
        <f t="shared" si="26"/>
        <v>0</v>
      </c>
      <c r="T42" s="52"/>
      <c r="U42" s="4">
        <f t="shared" si="27"/>
        <v>0</v>
      </c>
      <c r="V42" s="52"/>
      <c r="W42" s="4">
        <f t="shared" si="28"/>
        <v>0</v>
      </c>
    </row>
    <row r="43" spans="2:23" ht="23.25" customHeight="1" x14ac:dyDescent="0.35">
      <c r="B43" s="63"/>
      <c r="C43" s="65"/>
      <c r="D43" s="64"/>
      <c r="E43" s="48"/>
      <c r="F43" s="3" t="s">
        <v>14</v>
      </c>
      <c r="G43" s="4">
        <f t="shared" si="29"/>
        <v>0</v>
      </c>
      <c r="H43" s="4">
        <f t="shared" si="29"/>
        <v>0</v>
      </c>
      <c r="I43" s="4">
        <f t="shared" si="29"/>
        <v>0</v>
      </c>
      <c r="J43" s="4">
        <f t="shared" si="29"/>
        <v>0</v>
      </c>
      <c r="K43" s="4">
        <f t="shared" si="29"/>
        <v>0</v>
      </c>
      <c r="L43" s="4">
        <f t="shared" si="29"/>
        <v>500</v>
      </c>
      <c r="M43" s="4">
        <f t="shared" si="29"/>
        <v>0</v>
      </c>
      <c r="N43" s="4">
        <f t="shared" si="29"/>
        <v>0</v>
      </c>
      <c r="O43" s="4">
        <f t="shared" si="29"/>
        <v>0</v>
      </c>
      <c r="P43" s="4">
        <f t="shared" si="29"/>
        <v>0</v>
      </c>
      <c r="Q43" s="4">
        <f t="shared" si="29"/>
        <v>0</v>
      </c>
      <c r="R43" s="4">
        <f t="shared" si="26"/>
        <v>0</v>
      </c>
      <c r="S43" s="4">
        <f t="shared" si="26"/>
        <v>500</v>
      </c>
      <c r="T43" s="52"/>
      <c r="U43" s="4">
        <f t="shared" si="27"/>
        <v>500</v>
      </c>
      <c r="V43" s="52"/>
      <c r="W43" s="4">
        <f t="shared" si="28"/>
        <v>1000</v>
      </c>
    </row>
    <row r="44" spans="2:23" ht="23.25" customHeight="1" x14ac:dyDescent="0.35">
      <c r="B44" s="63"/>
      <c r="C44" s="65"/>
      <c r="D44" s="64"/>
      <c r="E44" s="48"/>
      <c r="F44" s="3" t="s">
        <v>15</v>
      </c>
      <c r="G44" s="4">
        <f t="shared" si="29"/>
        <v>0</v>
      </c>
      <c r="H44" s="4">
        <f t="shared" si="29"/>
        <v>0</v>
      </c>
      <c r="I44" s="4">
        <f t="shared" si="29"/>
        <v>0</v>
      </c>
      <c r="J44" s="4">
        <f t="shared" si="29"/>
        <v>0</v>
      </c>
      <c r="K44" s="4">
        <f t="shared" si="29"/>
        <v>0</v>
      </c>
      <c r="L44" s="4">
        <f t="shared" si="29"/>
        <v>500</v>
      </c>
      <c r="M44" s="4">
        <f t="shared" si="29"/>
        <v>0</v>
      </c>
      <c r="N44" s="4">
        <f t="shared" si="29"/>
        <v>0</v>
      </c>
      <c r="O44" s="4">
        <f t="shared" si="29"/>
        <v>0</v>
      </c>
      <c r="P44" s="4">
        <f t="shared" si="29"/>
        <v>0</v>
      </c>
      <c r="Q44" s="4">
        <f t="shared" si="29"/>
        <v>0</v>
      </c>
      <c r="R44" s="4">
        <f t="shared" si="26"/>
        <v>0</v>
      </c>
      <c r="S44" s="4">
        <f t="shared" si="26"/>
        <v>500</v>
      </c>
      <c r="T44" s="52"/>
      <c r="U44" s="4">
        <f t="shared" si="27"/>
        <v>500</v>
      </c>
      <c r="V44" s="52"/>
      <c r="W44" s="4">
        <f t="shared" si="28"/>
        <v>1000</v>
      </c>
    </row>
    <row r="45" spans="2:23" ht="23.25" customHeight="1" x14ac:dyDescent="0.35">
      <c r="B45" s="72"/>
      <c r="C45" s="38"/>
      <c r="D45" s="38"/>
      <c r="E45" s="32"/>
      <c r="F45" s="3" t="s">
        <v>22</v>
      </c>
      <c r="G45" s="4">
        <f>G60+G73+G86+G99+G112+G125+G138+G151+G164+G177+G190</f>
        <v>0</v>
      </c>
      <c r="H45" s="4">
        <f t="shared" si="29"/>
        <v>0</v>
      </c>
      <c r="I45" s="4">
        <f t="shared" si="29"/>
        <v>0</v>
      </c>
      <c r="J45" s="4">
        <f t="shared" si="29"/>
        <v>0</v>
      </c>
      <c r="K45" s="4">
        <f t="shared" si="29"/>
        <v>0</v>
      </c>
      <c r="L45" s="4">
        <f t="shared" si="29"/>
        <v>0</v>
      </c>
      <c r="M45" s="4">
        <f t="shared" si="29"/>
        <v>0</v>
      </c>
      <c r="N45" s="4">
        <f t="shared" si="29"/>
        <v>0</v>
      </c>
      <c r="O45" s="4">
        <f t="shared" si="29"/>
        <v>0</v>
      </c>
      <c r="P45" s="4">
        <f t="shared" si="29"/>
        <v>0</v>
      </c>
      <c r="Q45" s="4">
        <f t="shared" si="29"/>
        <v>0</v>
      </c>
      <c r="R45" s="4">
        <f t="shared" si="26"/>
        <v>0</v>
      </c>
      <c r="S45" s="4">
        <f t="shared" si="26"/>
        <v>0</v>
      </c>
      <c r="T45" s="52"/>
      <c r="U45" s="4">
        <f t="shared" si="27"/>
        <v>0</v>
      </c>
      <c r="V45" s="52"/>
      <c r="W45" s="4">
        <f t="shared" si="28"/>
        <v>0</v>
      </c>
    </row>
    <row r="46" spans="2:23" ht="23.25" customHeight="1" x14ac:dyDescent="0.35">
      <c r="B46" s="28"/>
      <c r="C46" s="28"/>
      <c r="D46" s="28"/>
      <c r="E46" s="32"/>
      <c r="F46" s="3" t="s">
        <v>23</v>
      </c>
      <c r="G46" s="4">
        <f t="shared" ref="G46:Q46" si="30">G61+G74+G87+G100+G113+G126+G139+G152+G165+G178+G191</f>
        <v>0</v>
      </c>
      <c r="H46" s="4">
        <f t="shared" si="30"/>
        <v>0</v>
      </c>
      <c r="I46" s="4">
        <f t="shared" si="30"/>
        <v>0</v>
      </c>
      <c r="J46" s="4">
        <f t="shared" si="30"/>
        <v>0</v>
      </c>
      <c r="K46" s="4">
        <f t="shared" si="30"/>
        <v>0</v>
      </c>
      <c r="L46" s="4">
        <f t="shared" si="30"/>
        <v>0</v>
      </c>
      <c r="M46" s="4">
        <f t="shared" si="30"/>
        <v>0</v>
      </c>
      <c r="N46" s="4">
        <f t="shared" si="30"/>
        <v>0</v>
      </c>
      <c r="O46" s="4">
        <f t="shared" si="30"/>
        <v>0</v>
      </c>
      <c r="P46" s="4">
        <f t="shared" si="30"/>
        <v>0</v>
      </c>
      <c r="Q46" s="4">
        <f t="shared" si="30"/>
        <v>0</v>
      </c>
      <c r="R46" s="4">
        <f t="shared" si="26"/>
        <v>0</v>
      </c>
      <c r="S46" s="4">
        <f t="shared" si="26"/>
        <v>0</v>
      </c>
      <c r="T46" s="52"/>
      <c r="U46" s="4">
        <f t="shared" si="27"/>
        <v>0</v>
      </c>
      <c r="V46" s="52"/>
      <c r="W46" s="4">
        <f t="shared" si="28"/>
        <v>0</v>
      </c>
    </row>
    <row r="47" spans="2:23" ht="31.5" customHeight="1" thickBot="1" x14ac:dyDescent="0.4">
      <c r="B47" s="29"/>
      <c r="C47" s="29"/>
      <c r="D47" s="29"/>
      <c r="E47" s="32"/>
      <c r="F47" s="53" t="s">
        <v>40</v>
      </c>
      <c r="G47" s="54">
        <f t="shared" ref="G47:Q47" si="31">SUM(G37:G46)</f>
        <v>0</v>
      </c>
      <c r="H47" s="54">
        <f t="shared" si="31"/>
        <v>0</v>
      </c>
      <c r="I47" s="54">
        <f t="shared" si="31"/>
        <v>0</v>
      </c>
      <c r="J47" s="54">
        <f t="shared" si="31"/>
        <v>126</v>
      </c>
      <c r="K47" s="54">
        <f t="shared" si="31"/>
        <v>126</v>
      </c>
      <c r="L47" s="54">
        <f t="shared" si="31"/>
        <v>1126</v>
      </c>
      <c r="M47" s="54">
        <f t="shared" si="31"/>
        <v>126</v>
      </c>
      <c r="N47" s="54">
        <f t="shared" si="31"/>
        <v>126</v>
      </c>
      <c r="O47" s="54">
        <f t="shared" si="31"/>
        <v>126</v>
      </c>
      <c r="P47" s="54">
        <f t="shared" si="31"/>
        <v>126</v>
      </c>
      <c r="Q47" s="54">
        <f t="shared" si="31"/>
        <v>126</v>
      </c>
      <c r="R47" s="54">
        <f>SUM(R37:R46)</f>
        <v>126</v>
      </c>
      <c r="S47" s="54">
        <f>SUM(S37:S46)</f>
        <v>2134</v>
      </c>
      <c r="T47" s="52"/>
      <c r="U47" s="54">
        <f>SUM(U37:U46)</f>
        <v>1756</v>
      </c>
      <c r="V47" s="52"/>
      <c r="W47" s="54">
        <f>SUM(W37:W46)</f>
        <v>3890</v>
      </c>
    </row>
    <row r="48" spans="2:23" ht="23.25" customHeight="1" thickTop="1" x14ac:dyDescent="0.35">
      <c r="B48" s="7"/>
      <c r="C48" s="7"/>
      <c r="D48" s="7"/>
      <c r="E48" s="61"/>
      <c r="F48" s="67"/>
      <c r="G48" s="68"/>
      <c r="H48" s="68"/>
      <c r="I48" s="68"/>
      <c r="J48" s="68"/>
      <c r="K48" s="68"/>
      <c r="L48" s="68"/>
      <c r="M48" s="68"/>
      <c r="N48" s="68"/>
      <c r="O48" s="68"/>
      <c r="P48" s="68"/>
      <c r="Q48" s="68"/>
      <c r="R48" s="68"/>
      <c r="S48" s="68"/>
      <c r="T48" s="69"/>
      <c r="U48" s="68"/>
      <c r="V48" s="69"/>
      <c r="W48" s="68"/>
    </row>
    <row r="50" spans="2:24" x14ac:dyDescent="0.35">
      <c r="F50" s="6" t="s">
        <v>18</v>
      </c>
      <c r="G50" s="6">
        <v>1</v>
      </c>
      <c r="H50" s="6">
        <v>2</v>
      </c>
      <c r="I50" s="6">
        <v>3</v>
      </c>
      <c r="J50" s="6">
        <v>4</v>
      </c>
      <c r="K50" s="6">
        <v>5</v>
      </c>
      <c r="L50" s="6">
        <v>6</v>
      </c>
      <c r="M50" s="6">
        <v>7</v>
      </c>
      <c r="N50" s="6">
        <v>8</v>
      </c>
      <c r="O50" s="6">
        <v>9</v>
      </c>
      <c r="P50" s="6">
        <v>10</v>
      </c>
      <c r="Q50" s="6">
        <v>11</v>
      </c>
      <c r="R50" s="6">
        <v>12</v>
      </c>
    </row>
    <row r="51" spans="2:24" ht="43" customHeight="1" x14ac:dyDescent="0.35">
      <c r="B51" s="81" t="s">
        <v>17</v>
      </c>
      <c r="C51" s="81" t="s">
        <v>10</v>
      </c>
      <c r="D51" s="81" t="s">
        <v>11</v>
      </c>
      <c r="E51" s="81" t="s">
        <v>12</v>
      </c>
      <c r="F51" s="75"/>
      <c r="G51" s="60">
        <v>43313</v>
      </c>
      <c r="H51" s="60">
        <v>43344</v>
      </c>
      <c r="I51" s="60">
        <v>43374</v>
      </c>
      <c r="J51" s="60">
        <v>43405</v>
      </c>
      <c r="K51" s="60">
        <v>43435</v>
      </c>
      <c r="L51" s="60">
        <v>43466</v>
      </c>
      <c r="M51" s="60">
        <v>43497</v>
      </c>
      <c r="N51" s="60">
        <v>43525</v>
      </c>
      <c r="O51" s="60">
        <v>43556</v>
      </c>
      <c r="P51" s="60">
        <v>43586</v>
      </c>
      <c r="Q51" s="60">
        <v>43617</v>
      </c>
      <c r="R51" s="60">
        <v>43647</v>
      </c>
      <c r="S51" s="76" t="s">
        <v>16</v>
      </c>
      <c r="U51" s="81" t="s">
        <v>56</v>
      </c>
      <c r="W51" s="81" t="s">
        <v>16</v>
      </c>
    </row>
    <row r="52" spans="2:24" x14ac:dyDescent="0.35">
      <c r="B52" s="100">
        <v>43313</v>
      </c>
      <c r="C52" s="101">
        <f>G22</f>
        <v>0</v>
      </c>
      <c r="D52" s="102">
        <f>G23</f>
        <v>0</v>
      </c>
      <c r="E52" s="101">
        <f>G25</f>
        <v>0</v>
      </c>
      <c r="F52" s="3" t="s">
        <v>4</v>
      </c>
      <c r="G52" s="2">
        <f t="shared" ref="G52:R52" si="32">IF($C$25&gt;=G50,$C$28,0)*$C$52</f>
        <v>0</v>
      </c>
      <c r="H52" s="2">
        <f t="shared" si="32"/>
        <v>0</v>
      </c>
      <c r="I52" s="2">
        <f t="shared" si="32"/>
        <v>0</v>
      </c>
      <c r="J52" s="2">
        <f t="shared" si="32"/>
        <v>0</v>
      </c>
      <c r="K52" s="2">
        <f t="shared" si="32"/>
        <v>0</v>
      </c>
      <c r="L52" s="2">
        <f t="shared" si="32"/>
        <v>0</v>
      </c>
      <c r="M52" s="2">
        <f t="shared" si="32"/>
        <v>0</v>
      </c>
      <c r="N52" s="2">
        <f t="shared" si="32"/>
        <v>0</v>
      </c>
      <c r="O52" s="2">
        <f t="shared" si="32"/>
        <v>0</v>
      </c>
      <c r="P52" s="2">
        <f t="shared" si="32"/>
        <v>0</v>
      </c>
      <c r="Q52" s="2">
        <f t="shared" si="32"/>
        <v>0</v>
      </c>
      <c r="R52" s="2">
        <f t="shared" si="32"/>
        <v>0</v>
      </c>
      <c r="S52" s="2">
        <f>SUM(G52:R52)</f>
        <v>0</v>
      </c>
      <c r="U52" s="2">
        <f>W52-S52</f>
        <v>0</v>
      </c>
      <c r="W52" s="2">
        <f>C52*$C$35</f>
        <v>0</v>
      </c>
    </row>
    <row r="53" spans="2:24" x14ac:dyDescent="0.35">
      <c r="B53" s="100"/>
      <c r="C53" s="101"/>
      <c r="D53" s="103"/>
      <c r="E53" s="101"/>
      <c r="F53" s="3" t="s">
        <v>5</v>
      </c>
      <c r="G53" s="2">
        <f t="shared" ref="G53:R53" si="33">IF($C$25+1=G50,$C$36,0)*$C$52</f>
        <v>0</v>
      </c>
      <c r="H53" s="2">
        <f t="shared" si="33"/>
        <v>0</v>
      </c>
      <c r="I53" s="2">
        <f t="shared" si="33"/>
        <v>0</v>
      </c>
      <c r="J53" s="2">
        <f t="shared" si="33"/>
        <v>0</v>
      </c>
      <c r="K53" s="2">
        <f t="shared" si="33"/>
        <v>0</v>
      </c>
      <c r="L53" s="2">
        <f t="shared" si="33"/>
        <v>0</v>
      </c>
      <c r="M53" s="2">
        <f t="shared" si="33"/>
        <v>0</v>
      </c>
      <c r="N53" s="2">
        <f t="shared" si="33"/>
        <v>0</v>
      </c>
      <c r="O53" s="2">
        <f t="shared" si="33"/>
        <v>0</v>
      </c>
      <c r="P53" s="2">
        <f t="shared" si="33"/>
        <v>0</v>
      </c>
      <c r="Q53" s="2">
        <f t="shared" si="33"/>
        <v>0</v>
      </c>
      <c r="R53" s="2">
        <f t="shared" si="33"/>
        <v>0</v>
      </c>
      <c r="S53" s="2">
        <f t="shared" ref="S53:S61" si="34">SUM(G53:R53)</f>
        <v>0</v>
      </c>
      <c r="T53" s="16"/>
      <c r="U53" s="2">
        <f>W53-S53</f>
        <v>0</v>
      </c>
      <c r="W53" s="2">
        <f>C52*$C$36</f>
        <v>0</v>
      </c>
    </row>
    <row r="54" spans="2:24" x14ac:dyDescent="0.35">
      <c r="B54" s="100"/>
      <c r="C54" s="101"/>
      <c r="D54" s="103"/>
      <c r="E54" s="101"/>
      <c r="F54" s="3" t="s">
        <v>6</v>
      </c>
      <c r="G54" s="2">
        <f t="shared" ref="G54:R54" si="35">IF($C$25&gt;=G50,$C$29,0)*$D$52</f>
        <v>0</v>
      </c>
      <c r="H54" s="2">
        <f t="shared" si="35"/>
        <v>0</v>
      </c>
      <c r="I54" s="2">
        <f t="shared" si="35"/>
        <v>0</v>
      </c>
      <c r="J54" s="2">
        <f t="shared" si="35"/>
        <v>0</v>
      </c>
      <c r="K54" s="2">
        <f t="shared" si="35"/>
        <v>0</v>
      </c>
      <c r="L54" s="2">
        <f t="shared" si="35"/>
        <v>0</v>
      </c>
      <c r="M54" s="2">
        <f t="shared" si="35"/>
        <v>0</v>
      </c>
      <c r="N54" s="2">
        <f t="shared" si="35"/>
        <v>0</v>
      </c>
      <c r="O54" s="2">
        <f t="shared" si="35"/>
        <v>0</v>
      </c>
      <c r="P54" s="2">
        <f t="shared" si="35"/>
        <v>0</v>
      </c>
      <c r="Q54" s="2">
        <f t="shared" si="35"/>
        <v>0</v>
      </c>
      <c r="R54" s="2">
        <f t="shared" si="35"/>
        <v>0</v>
      </c>
      <c r="S54" s="2">
        <f t="shared" si="34"/>
        <v>0</v>
      </c>
      <c r="T54" s="16"/>
      <c r="U54" s="2">
        <f>W54-S54</f>
        <v>0</v>
      </c>
      <c r="W54" s="2">
        <f>D52*$C$37</f>
        <v>0</v>
      </c>
    </row>
    <row r="55" spans="2:24" x14ac:dyDescent="0.35">
      <c r="B55" s="100"/>
      <c r="C55" s="101"/>
      <c r="D55" s="103"/>
      <c r="E55" s="101"/>
      <c r="F55" s="3" t="s">
        <v>7</v>
      </c>
      <c r="G55" s="2">
        <f t="shared" ref="G55:R55" si="36">IF($C$25+1=G50,$C$38,0)*$D$52</f>
        <v>0</v>
      </c>
      <c r="H55" s="2">
        <f t="shared" si="36"/>
        <v>0</v>
      </c>
      <c r="I55" s="2">
        <f t="shared" si="36"/>
        <v>0</v>
      </c>
      <c r="J55" s="2">
        <f t="shared" si="36"/>
        <v>0</v>
      </c>
      <c r="K55" s="2">
        <f t="shared" si="36"/>
        <v>0</v>
      </c>
      <c r="L55" s="2">
        <f t="shared" si="36"/>
        <v>0</v>
      </c>
      <c r="M55" s="2">
        <f t="shared" si="36"/>
        <v>0</v>
      </c>
      <c r="N55" s="2">
        <f t="shared" si="36"/>
        <v>0</v>
      </c>
      <c r="O55" s="2">
        <f t="shared" si="36"/>
        <v>0</v>
      </c>
      <c r="P55" s="2">
        <f t="shared" si="36"/>
        <v>0</v>
      </c>
      <c r="Q55" s="2">
        <f t="shared" si="36"/>
        <v>0</v>
      </c>
      <c r="R55" s="2">
        <f t="shared" si="36"/>
        <v>0</v>
      </c>
      <c r="S55" s="2">
        <f t="shared" si="34"/>
        <v>0</v>
      </c>
      <c r="T55" s="16"/>
      <c r="U55" s="2">
        <f t="shared" ref="U55:U61" si="37">W55-S55</f>
        <v>0</v>
      </c>
      <c r="W55" s="2">
        <f>D52*$C$38</f>
        <v>0</v>
      </c>
    </row>
    <row r="56" spans="2:24" x14ac:dyDescent="0.35">
      <c r="B56" s="100"/>
      <c r="C56" s="101"/>
      <c r="D56" s="103"/>
      <c r="E56" s="101"/>
      <c r="F56" s="3" t="s">
        <v>8</v>
      </c>
      <c r="G56" s="2">
        <f t="shared" ref="G56:R56" si="38">IF($C$25&gt;=G50,$C$29,0)*$E$52</f>
        <v>0</v>
      </c>
      <c r="H56" s="2">
        <f t="shared" si="38"/>
        <v>0</v>
      </c>
      <c r="I56" s="2">
        <f t="shared" si="38"/>
        <v>0</v>
      </c>
      <c r="J56" s="2">
        <f t="shared" si="38"/>
        <v>0</v>
      </c>
      <c r="K56" s="2">
        <f t="shared" si="38"/>
        <v>0</v>
      </c>
      <c r="L56" s="2">
        <f t="shared" si="38"/>
        <v>0</v>
      </c>
      <c r="M56" s="2">
        <f t="shared" si="38"/>
        <v>0</v>
      </c>
      <c r="N56" s="2">
        <f t="shared" si="38"/>
        <v>0</v>
      </c>
      <c r="O56" s="2">
        <f t="shared" si="38"/>
        <v>0</v>
      </c>
      <c r="P56" s="2">
        <f t="shared" si="38"/>
        <v>0</v>
      </c>
      <c r="Q56" s="2">
        <f t="shared" si="38"/>
        <v>0</v>
      </c>
      <c r="R56" s="2">
        <f t="shared" si="38"/>
        <v>0</v>
      </c>
      <c r="S56" s="2">
        <f t="shared" si="34"/>
        <v>0</v>
      </c>
      <c r="T56" s="16"/>
      <c r="U56" s="2">
        <f>W56-S56</f>
        <v>0</v>
      </c>
      <c r="W56" s="2">
        <f>E52*$C$37</f>
        <v>0</v>
      </c>
    </row>
    <row r="57" spans="2:24" x14ac:dyDescent="0.35">
      <c r="B57" s="100"/>
      <c r="C57" s="101"/>
      <c r="D57" s="103"/>
      <c r="E57" s="101"/>
      <c r="F57" s="3" t="s">
        <v>9</v>
      </c>
      <c r="G57" s="2">
        <f t="shared" ref="G57:R57" si="39">IF($C$25+1=G50,$C$38,0)*$E$52</f>
        <v>0</v>
      </c>
      <c r="H57" s="2">
        <f t="shared" si="39"/>
        <v>0</v>
      </c>
      <c r="I57" s="2">
        <f t="shared" si="39"/>
        <v>0</v>
      </c>
      <c r="J57" s="2">
        <f t="shared" si="39"/>
        <v>0</v>
      </c>
      <c r="K57" s="2">
        <f t="shared" si="39"/>
        <v>0</v>
      </c>
      <c r="L57" s="2">
        <f t="shared" si="39"/>
        <v>0</v>
      </c>
      <c r="M57" s="2">
        <f t="shared" si="39"/>
        <v>0</v>
      </c>
      <c r="N57" s="2">
        <f t="shared" si="39"/>
        <v>0</v>
      </c>
      <c r="O57" s="2">
        <f t="shared" si="39"/>
        <v>0</v>
      </c>
      <c r="P57" s="2">
        <f t="shared" si="39"/>
        <v>0</v>
      </c>
      <c r="Q57" s="2">
        <f t="shared" si="39"/>
        <v>0</v>
      </c>
      <c r="R57" s="2">
        <f t="shared" si="39"/>
        <v>0</v>
      </c>
      <c r="S57" s="2">
        <f t="shared" si="34"/>
        <v>0</v>
      </c>
      <c r="T57" s="16"/>
      <c r="U57" s="2">
        <f t="shared" si="37"/>
        <v>0</v>
      </c>
      <c r="W57" s="2">
        <f>E52*$C$38</f>
        <v>0</v>
      </c>
    </row>
    <row r="58" spans="2:24" x14ac:dyDescent="0.35">
      <c r="B58" s="100"/>
      <c r="C58" s="101"/>
      <c r="D58" s="103"/>
      <c r="E58" s="101"/>
      <c r="F58" s="3" t="s">
        <v>14</v>
      </c>
      <c r="G58" s="18"/>
      <c r="H58" s="18"/>
      <c r="I58" s="2">
        <f>(C52+D52)*$C$30/2</f>
        <v>0</v>
      </c>
      <c r="J58" s="18"/>
      <c r="K58" s="18"/>
      <c r="L58" s="18"/>
      <c r="M58" s="18"/>
      <c r="N58" s="18"/>
      <c r="O58" s="18"/>
      <c r="P58" s="18"/>
      <c r="Q58" s="18"/>
      <c r="R58" s="18"/>
      <c r="S58" s="2">
        <f t="shared" si="34"/>
        <v>0</v>
      </c>
      <c r="U58" s="2">
        <f t="shared" si="37"/>
        <v>0</v>
      </c>
      <c r="W58" s="2">
        <f>(C52+D52)*$C$30</f>
        <v>0</v>
      </c>
    </row>
    <row r="59" spans="2:24" x14ac:dyDescent="0.35">
      <c r="B59" s="100"/>
      <c r="C59" s="101"/>
      <c r="D59" s="103"/>
      <c r="E59" s="101"/>
      <c r="F59" s="3" t="s">
        <v>15</v>
      </c>
      <c r="G59" s="18"/>
      <c r="H59" s="18"/>
      <c r="I59" s="2">
        <f>(C52+D52)*$C$31/2</f>
        <v>0</v>
      </c>
      <c r="J59" s="18"/>
      <c r="K59" s="18"/>
      <c r="L59" s="18"/>
      <c r="M59" s="18"/>
      <c r="N59" s="18"/>
      <c r="O59" s="18"/>
      <c r="P59" s="18"/>
      <c r="Q59" s="18"/>
      <c r="R59" s="18"/>
      <c r="S59" s="2">
        <f t="shared" si="34"/>
        <v>0</v>
      </c>
      <c r="U59" s="2">
        <f t="shared" si="37"/>
        <v>0</v>
      </c>
      <c r="W59" s="2">
        <f>(C52+D52)*$C$31</f>
        <v>0</v>
      </c>
    </row>
    <row r="60" spans="2:24" x14ac:dyDescent="0.35">
      <c r="B60" s="100"/>
      <c r="C60" s="101"/>
      <c r="D60" s="103"/>
      <c r="E60" s="101"/>
      <c r="F60" s="3" t="s">
        <v>22</v>
      </c>
      <c r="G60" s="2">
        <f t="shared" ref="G60:R60" si="40">IF($C$25&gt;=G50,$C$33,0)*($C$52+$D$52)</f>
        <v>0</v>
      </c>
      <c r="H60" s="2">
        <f t="shared" si="40"/>
        <v>0</v>
      </c>
      <c r="I60" s="2">
        <f t="shared" si="40"/>
        <v>0</v>
      </c>
      <c r="J60" s="2">
        <f t="shared" si="40"/>
        <v>0</v>
      </c>
      <c r="K60" s="2">
        <f t="shared" si="40"/>
        <v>0</v>
      </c>
      <c r="L60" s="2">
        <f t="shared" si="40"/>
        <v>0</v>
      </c>
      <c r="M60" s="2">
        <f t="shared" si="40"/>
        <v>0</v>
      </c>
      <c r="N60" s="2">
        <f t="shared" si="40"/>
        <v>0</v>
      </c>
      <c r="O60" s="2">
        <f t="shared" si="40"/>
        <v>0</v>
      </c>
      <c r="P60" s="2">
        <f t="shared" si="40"/>
        <v>0</v>
      </c>
      <c r="Q60" s="2">
        <f t="shared" si="40"/>
        <v>0</v>
      </c>
      <c r="R60" s="2">
        <f t="shared" si="40"/>
        <v>0</v>
      </c>
      <c r="S60" s="2">
        <f t="shared" si="34"/>
        <v>0</v>
      </c>
      <c r="U60" s="19">
        <f t="shared" si="37"/>
        <v>0</v>
      </c>
      <c r="W60" s="2">
        <f>(C52+D52)*($C$32*0.8)</f>
        <v>0</v>
      </c>
    </row>
    <row r="61" spans="2:24" x14ac:dyDescent="0.35">
      <c r="B61" s="100"/>
      <c r="C61" s="101"/>
      <c r="D61" s="104"/>
      <c r="E61" s="101"/>
      <c r="F61" s="3" t="s">
        <v>23</v>
      </c>
      <c r="G61" s="2">
        <f t="shared" ref="G61:R61" si="41">IF($C$25+1=G50,$C$34,0)*($C$52+$D$52)</f>
        <v>0</v>
      </c>
      <c r="H61" s="2">
        <f t="shared" si="41"/>
        <v>0</v>
      </c>
      <c r="I61" s="2">
        <f t="shared" si="41"/>
        <v>0</v>
      </c>
      <c r="J61" s="2">
        <f t="shared" si="41"/>
        <v>0</v>
      </c>
      <c r="K61" s="2">
        <f t="shared" si="41"/>
        <v>0</v>
      </c>
      <c r="L61" s="2">
        <f t="shared" si="41"/>
        <v>0</v>
      </c>
      <c r="M61" s="2">
        <f t="shared" si="41"/>
        <v>0</v>
      </c>
      <c r="N61" s="2">
        <f t="shared" si="41"/>
        <v>0</v>
      </c>
      <c r="O61" s="2">
        <f t="shared" si="41"/>
        <v>0</v>
      </c>
      <c r="P61" s="2">
        <f t="shared" si="41"/>
        <v>0</v>
      </c>
      <c r="Q61" s="2">
        <f t="shared" si="41"/>
        <v>0</v>
      </c>
      <c r="R61" s="2">
        <f t="shared" si="41"/>
        <v>0</v>
      </c>
      <c r="S61" s="2">
        <f t="shared" si="34"/>
        <v>0</v>
      </c>
      <c r="U61" s="2">
        <f t="shared" si="37"/>
        <v>0</v>
      </c>
      <c r="V61" s="20"/>
      <c r="W61" s="2">
        <f>(C52+D52)*$C$34</f>
        <v>0</v>
      </c>
    </row>
    <row r="62" spans="2:24" x14ac:dyDescent="0.35">
      <c r="F62" s="7"/>
      <c r="G62" s="15"/>
      <c r="H62" s="7"/>
      <c r="I62" s="7"/>
      <c r="J62" s="7"/>
      <c r="K62" s="7"/>
      <c r="L62" s="7"/>
      <c r="M62" s="7"/>
      <c r="N62" s="7"/>
      <c r="O62" s="7"/>
      <c r="P62" s="7"/>
      <c r="Q62" s="7"/>
      <c r="R62" s="7"/>
      <c r="S62" s="7"/>
      <c r="T62" s="7"/>
      <c r="U62" s="7"/>
      <c r="W62" s="7"/>
      <c r="X62" s="7"/>
    </row>
    <row r="63" spans="2:24" x14ac:dyDescent="0.35">
      <c r="F63" s="6" t="s">
        <v>18</v>
      </c>
      <c r="G63" s="6">
        <v>1</v>
      </c>
      <c r="H63" s="6">
        <v>2</v>
      </c>
      <c r="I63" s="6">
        <v>3</v>
      </c>
      <c r="J63" s="6">
        <v>4</v>
      </c>
      <c r="K63" s="6">
        <v>5</v>
      </c>
      <c r="L63" s="6">
        <v>6</v>
      </c>
      <c r="M63" s="6">
        <v>7</v>
      </c>
      <c r="N63" s="6">
        <v>8</v>
      </c>
      <c r="O63" s="6">
        <v>9</v>
      </c>
      <c r="P63" s="6">
        <v>10</v>
      </c>
      <c r="Q63" s="6">
        <v>11</v>
      </c>
      <c r="R63" s="6">
        <v>12</v>
      </c>
    </row>
    <row r="64" spans="2:24" ht="37.5" x14ac:dyDescent="0.35">
      <c r="B64" s="81" t="s">
        <v>17</v>
      </c>
      <c r="C64" s="81" t="s">
        <v>10</v>
      </c>
      <c r="D64" s="81" t="s">
        <v>11</v>
      </c>
      <c r="E64" s="81" t="s">
        <v>12</v>
      </c>
      <c r="F64" s="75"/>
      <c r="G64" s="60">
        <v>43313</v>
      </c>
      <c r="H64" s="60">
        <v>43344</v>
      </c>
      <c r="I64" s="60">
        <v>43374</v>
      </c>
      <c r="J64" s="60">
        <v>43405</v>
      </c>
      <c r="K64" s="60">
        <v>43435</v>
      </c>
      <c r="L64" s="60">
        <v>43466</v>
      </c>
      <c r="M64" s="60">
        <v>43497</v>
      </c>
      <c r="N64" s="60">
        <v>43525</v>
      </c>
      <c r="O64" s="60">
        <v>43556</v>
      </c>
      <c r="P64" s="60">
        <v>43586</v>
      </c>
      <c r="Q64" s="60">
        <v>43617</v>
      </c>
      <c r="R64" s="60">
        <v>43647</v>
      </c>
      <c r="S64" s="76" t="s">
        <v>16</v>
      </c>
      <c r="U64" s="81" t="s">
        <v>56</v>
      </c>
      <c r="W64" s="81" t="s">
        <v>16</v>
      </c>
    </row>
    <row r="65" spans="2:23" x14ac:dyDescent="0.35">
      <c r="B65" s="100">
        <v>43344</v>
      </c>
      <c r="C65" s="101">
        <f>H22</f>
        <v>0</v>
      </c>
      <c r="D65" s="102">
        <f>H23</f>
        <v>0</v>
      </c>
      <c r="E65" s="101">
        <f>H25</f>
        <v>0</v>
      </c>
      <c r="F65" s="3" t="s">
        <v>4</v>
      </c>
      <c r="G65" s="21"/>
      <c r="H65" s="2">
        <f t="shared" ref="H65:R65" si="42">IF($C$25&gt;=H63-1,$C$28,0)*$C$65</f>
        <v>0</v>
      </c>
      <c r="I65" s="2">
        <f t="shared" si="42"/>
        <v>0</v>
      </c>
      <c r="J65" s="2">
        <f t="shared" si="42"/>
        <v>0</v>
      </c>
      <c r="K65" s="2">
        <f t="shared" si="42"/>
        <v>0</v>
      </c>
      <c r="L65" s="2">
        <f t="shared" si="42"/>
        <v>0</v>
      </c>
      <c r="M65" s="2">
        <f t="shared" si="42"/>
        <v>0</v>
      </c>
      <c r="N65" s="2">
        <f t="shared" si="42"/>
        <v>0</v>
      </c>
      <c r="O65" s="2">
        <f t="shared" si="42"/>
        <v>0</v>
      </c>
      <c r="P65" s="2">
        <f t="shared" si="42"/>
        <v>0</v>
      </c>
      <c r="Q65" s="2">
        <f t="shared" si="42"/>
        <v>0</v>
      </c>
      <c r="R65" s="2">
        <f t="shared" si="42"/>
        <v>0</v>
      </c>
      <c r="S65" s="2">
        <f>SUM(G65:R65)</f>
        <v>0</v>
      </c>
      <c r="U65" s="2">
        <f t="shared" ref="U65:U74" si="43">W65-S65</f>
        <v>0</v>
      </c>
      <c r="W65" s="2">
        <f>C65*$C$35</f>
        <v>0</v>
      </c>
    </row>
    <row r="66" spans="2:23" x14ac:dyDescent="0.35">
      <c r="B66" s="100"/>
      <c r="C66" s="101"/>
      <c r="D66" s="103"/>
      <c r="E66" s="101"/>
      <c r="F66" s="3" t="s">
        <v>5</v>
      </c>
      <c r="G66" s="21"/>
      <c r="H66" s="2">
        <f t="shared" ref="H66:R66" si="44">IF($C$25+2=H63,$C$36,0)*$C$65</f>
        <v>0</v>
      </c>
      <c r="I66" s="2">
        <f t="shared" si="44"/>
        <v>0</v>
      </c>
      <c r="J66" s="2">
        <f t="shared" si="44"/>
        <v>0</v>
      </c>
      <c r="K66" s="2">
        <f t="shared" si="44"/>
        <v>0</v>
      </c>
      <c r="L66" s="2">
        <f t="shared" si="44"/>
        <v>0</v>
      </c>
      <c r="M66" s="2">
        <f t="shared" si="44"/>
        <v>0</v>
      </c>
      <c r="N66" s="2">
        <f t="shared" si="44"/>
        <v>0</v>
      </c>
      <c r="O66" s="2">
        <f t="shared" si="44"/>
        <v>0</v>
      </c>
      <c r="P66" s="2">
        <f t="shared" si="44"/>
        <v>0</v>
      </c>
      <c r="Q66" s="2">
        <f t="shared" si="44"/>
        <v>0</v>
      </c>
      <c r="R66" s="2">
        <f t="shared" si="44"/>
        <v>0</v>
      </c>
      <c r="S66" s="2">
        <f t="shared" ref="S66:S74" si="45">SUM(G66:R66)</f>
        <v>0</v>
      </c>
      <c r="T66" s="16"/>
      <c r="U66" s="2">
        <f t="shared" si="43"/>
        <v>0</v>
      </c>
      <c r="W66" s="2">
        <f>C65*$C$36</f>
        <v>0</v>
      </c>
    </row>
    <row r="67" spans="2:23" x14ac:dyDescent="0.35">
      <c r="B67" s="100"/>
      <c r="C67" s="101"/>
      <c r="D67" s="103"/>
      <c r="E67" s="101"/>
      <c r="F67" s="3" t="s">
        <v>6</v>
      </c>
      <c r="G67" s="21"/>
      <c r="H67" s="2">
        <f t="shared" ref="H67:R67" si="46">IF($C$25&gt;=H63-1,$C$29,0)*$D$65</f>
        <v>0</v>
      </c>
      <c r="I67" s="2">
        <f t="shared" si="46"/>
        <v>0</v>
      </c>
      <c r="J67" s="2">
        <f t="shared" si="46"/>
        <v>0</v>
      </c>
      <c r="K67" s="2">
        <f t="shared" si="46"/>
        <v>0</v>
      </c>
      <c r="L67" s="2">
        <f t="shared" si="46"/>
        <v>0</v>
      </c>
      <c r="M67" s="2">
        <f t="shared" si="46"/>
        <v>0</v>
      </c>
      <c r="N67" s="2">
        <f t="shared" si="46"/>
        <v>0</v>
      </c>
      <c r="O67" s="2">
        <f t="shared" si="46"/>
        <v>0</v>
      </c>
      <c r="P67" s="2">
        <f t="shared" si="46"/>
        <v>0</v>
      </c>
      <c r="Q67" s="2">
        <f t="shared" si="46"/>
        <v>0</v>
      </c>
      <c r="R67" s="2">
        <f t="shared" si="46"/>
        <v>0</v>
      </c>
      <c r="S67" s="2">
        <f t="shared" si="45"/>
        <v>0</v>
      </c>
      <c r="T67" s="16"/>
      <c r="U67" s="2">
        <f t="shared" si="43"/>
        <v>0</v>
      </c>
      <c r="W67" s="2">
        <f>D65*$C$37</f>
        <v>0</v>
      </c>
    </row>
    <row r="68" spans="2:23" x14ac:dyDescent="0.35">
      <c r="B68" s="100"/>
      <c r="C68" s="101"/>
      <c r="D68" s="103"/>
      <c r="E68" s="101"/>
      <c r="F68" s="3" t="s">
        <v>7</v>
      </c>
      <c r="G68" s="21"/>
      <c r="H68" s="2">
        <f t="shared" ref="H68:R68" si="47">IF($C$25+2=H63,$C$38,0)*$D$65</f>
        <v>0</v>
      </c>
      <c r="I68" s="2">
        <f t="shared" si="47"/>
        <v>0</v>
      </c>
      <c r="J68" s="2">
        <f t="shared" si="47"/>
        <v>0</v>
      </c>
      <c r="K68" s="2">
        <f t="shared" si="47"/>
        <v>0</v>
      </c>
      <c r="L68" s="2">
        <f t="shared" si="47"/>
        <v>0</v>
      </c>
      <c r="M68" s="2">
        <f t="shared" si="47"/>
        <v>0</v>
      </c>
      <c r="N68" s="2">
        <f t="shared" si="47"/>
        <v>0</v>
      </c>
      <c r="O68" s="2">
        <f t="shared" si="47"/>
        <v>0</v>
      </c>
      <c r="P68" s="2">
        <f t="shared" si="47"/>
        <v>0</v>
      </c>
      <c r="Q68" s="2">
        <f t="shared" si="47"/>
        <v>0</v>
      </c>
      <c r="R68" s="2">
        <f t="shared" si="47"/>
        <v>0</v>
      </c>
      <c r="S68" s="2">
        <f t="shared" si="45"/>
        <v>0</v>
      </c>
      <c r="T68" s="16"/>
      <c r="U68" s="2">
        <f t="shared" si="43"/>
        <v>0</v>
      </c>
      <c r="W68" s="2">
        <f>D65*$C$38</f>
        <v>0</v>
      </c>
    </row>
    <row r="69" spans="2:23" x14ac:dyDescent="0.35">
      <c r="B69" s="100"/>
      <c r="C69" s="101"/>
      <c r="D69" s="103"/>
      <c r="E69" s="101"/>
      <c r="F69" s="3" t="s">
        <v>8</v>
      </c>
      <c r="G69" s="21"/>
      <c r="H69" s="2">
        <f t="shared" ref="H69:R69" si="48">IF($C$25&gt;=H63-1,$C$29,0)*$E$65</f>
        <v>0</v>
      </c>
      <c r="I69" s="2">
        <f t="shared" si="48"/>
        <v>0</v>
      </c>
      <c r="J69" s="2">
        <f t="shared" si="48"/>
        <v>0</v>
      </c>
      <c r="K69" s="2">
        <f t="shared" si="48"/>
        <v>0</v>
      </c>
      <c r="L69" s="2">
        <f t="shared" si="48"/>
        <v>0</v>
      </c>
      <c r="M69" s="2">
        <f t="shared" si="48"/>
        <v>0</v>
      </c>
      <c r="N69" s="2">
        <f t="shared" si="48"/>
        <v>0</v>
      </c>
      <c r="O69" s="2">
        <f t="shared" si="48"/>
        <v>0</v>
      </c>
      <c r="P69" s="2">
        <f t="shared" si="48"/>
        <v>0</v>
      </c>
      <c r="Q69" s="2">
        <f t="shared" si="48"/>
        <v>0</v>
      </c>
      <c r="R69" s="2">
        <f t="shared" si="48"/>
        <v>0</v>
      </c>
      <c r="S69" s="2">
        <f t="shared" si="45"/>
        <v>0</v>
      </c>
      <c r="T69" s="16"/>
      <c r="U69" s="2">
        <f t="shared" si="43"/>
        <v>0</v>
      </c>
      <c r="W69" s="2">
        <f>E65*$C$37</f>
        <v>0</v>
      </c>
    </row>
    <row r="70" spans="2:23" x14ac:dyDescent="0.35">
      <c r="B70" s="100"/>
      <c r="C70" s="101"/>
      <c r="D70" s="103"/>
      <c r="E70" s="101"/>
      <c r="F70" s="3" t="s">
        <v>9</v>
      </c>
      <c r="G70" s="21"/>
      <c r="H70" s="2">
        <f t="shared" ref="H70:R70" si="49">IF($C$25+2=H63,$C$38,0)*$E$65</f>
        <v>0</v>
      </c>
      <c r="I70" s="2">
        <f t="shared" si="49"/>
        <v>0</v>
      </c>
      <c r="J70" s="2">
        <f t="shared" si="49"/>
        <v>0</v>
      </c>
      <c r="K70" s="2">
        <f t="shared" si="49"/>
        <v>0</v>
      </c>
      <c r="L70" s="2">
        <f t="shared" si="49"/>
        <v>0</v>
      </c>
      <c r="M70" s="2">
        <f t="shared" si="49"/>
        <v>0</v>
      </c>
      <c r="N70" s="2">
        <f t="shared" si="49"/>
        <v>0</v>
      </c>
      <c r="O70" s="2">
        <f t="shared" si="49"/>
        <v>0</v>
      </c>
      <c r="P70" s="2">
        <f t="shared" si="49"/>
        <v>0</v>
      </c>
      <c r="Q70" s="2">
        <f t="shared" si="49"/>
        <v>0</v>
      </c>
      <c r="R70" s="2">
        <f t="shared" si="49"/>
        <v>0</v>
      </c>
      <c r="S70" s="2">
        <f t="shared" si="45"/>
        <v>0</v>
      </c>
      <c r="T70" s="16"/>
      <c r="U70" s="2">
        <f t="shared" si="43"/>
        <v>0</v>
      </c>
      <c r="W70" s="2">
        <f>E65*$C$38</f>
        <v>0</v>
      </c>
    </row>
    <row r="71" spans="2:23" x14ac:dyDescent="0.35">
      <c r="B71" s="100"/>
      <c r="C71" s="101"/>
      <c r="D71" s="103"/>
      <c r="E71" s="101"/>
      <c r="F71" s="3" t="s">
        <v>14</v>
      </c>
      <c r="G71" s="18"/>
      <c r="H71" s="18"/>
      <c r="I71" s="21"/>
      <c r="J71" s="2">
        <f>(C65+D65)*$C$30/2</f>
        <v>0</v>
      </c>
      <c r="K71" s="18"/>
      <c r="L71" s="18"/>
      <c r="M71" s="18"/>
      <c r="N71" s="18"/>
      <c r="O71" s="18"/>
      <c r="P71" s="18"/>
      <c r="Q71" s="18"/>
      <c r="R71" s="18"/>
      <c r="S71" s="2">
        <f t="shared" si="45"/>
        <v>0</v>
      </c>
      <c r="U71" s="2">
        <f t="shared" si="43"/>
        <v>0</v>
      </c>
      <c r="W71" s="2">
        <f>(C65+D65)*$C$30</f>
        <v>0</v>
      </c>
    </row>
    <row r="72" spans="2:23" x14ac:dyDescent="0.35">
      <c r="B72" s="100"/>
      <c r="C72" s="101"/>
      <c r="D72" s="103"/>
      <c r="E72" s="101"/>
      <c r="F72" s="3" t="s">
        <v>15</v>
      </c>
      <c r="G72" s="18"/>
      <c r="H72" s="18"/>
      <c r="I72" s="21"/>
      <c r="J72" s="2">
        <f>(C65+D65)*$C$31/2</f>
        <v>0</v>
      </c>
      <c r="K72" s="18"/>
      <c r="L72" s="18"/>
      <c r="M72" s="18"/>
      <c r="N72" s="18"/>
      <c r="O72" s="18"/>
      <c r="P72" s="18"/>
      <c r="Q72" s="18"/>
      <c r="R72" s="18"/>
      <c r="S72" s="2">
        <f t="shared" si="45"/>
        <v>0</v>
      </c>
      <c r="U72" s="2">
        <f t="shared" si="43"/>
        <v>0</v>
      </c>
      <c r="W72" s="2">
        <f>(C65+D65)*$C$31</f>
        <v>0</v>
      </c>
    </row>
    <row r="73" spans="2:23" x14ac:dyDescent="0.35">
      <c r="B73" s="100"/>
      <c r="C73" s="101"/>
      <c r="D73" s="103"/>
      <c r="E73" s="101"/>
      <c r="F73" s="3" t="s">
        <v>22</v>
      </c>
      <c r="G73" s="21"/>
      <c r="H73" s="2">
        <f t="shared" ref="H73:R73" si="50">IF($C$25&gt;=H63-1,$C$33,0)*($C$65+$D$65)</f>
        <v>0</v>
      </c>
      <c r="I73" s="2">
        <f t="shared" si="50"/>
        <v>0</v>
      </c>
      <c r="J73" s="2">
        <f t="shared" si="50"/>
        <v>0</v>
      </c>
      <c r="K73" s="2">
        <f t="shared" si="50"/>
        <v>0</v>
      </c>
      <c r="L73" s="2">
        <f t="shared" si="50"/>
        <v>0</v>
      </c>
      <c r="M73" s="2">
        <f t="shared" si="50"/>
        <v>0</v>
      </c>
      <c r="N73" s="2">
        <f t="shared" si="50"/>
        <v>0</v>
      </c>
      <c r="O73" s="2">
        <f t="shared" si="50"/>
        <v>0</v>
      </c>
      <c r="P73" s="2">
        <f t="shared" si="50"/>
        <v>0</v>
      </c>
      <c r="Q73" s="2">
        <f t="shared" si="50"/>
        <v>0</v>
      </c>
      <c r="R73" s="2">
        <f t="shared" si="50"/>
        <v>0</v>
      </c>
      <c r="S73" s="2">
        <f t="shared" si="45"/>
        <v>0</v>
      </c>
      <c r="U73" s="19">
        <f t="shared" si="43"/>
        <v>0</v>
      </c>
      <c r="W73" s="2">
        <f>(C65+D65)*($C$32*0.8)</f>
        <v>0</v>
      </c>
    </row>
    <row r="74" spans="2:23" x14ac:dyDescent="0.35">
      <c r="B74" s="100"/>
      <c r="C74" s="101"/>
      <c r="D74" s="104"/>
      <c r="E74" s="101"/>
      <c r="F74" s="3" t="s">
        <v>23</v>
      </c>
      <c r="G74" s="21"/>
      <c r="H74" s="2">
        <f t="shared" ref="H74:R74" si="51">IF($C$25+1=H63-1,$C$34,0)*($C$65+$D$65)</f>
        <v>0</v>
      </c>
      <c r="I74" s="2">
        <f t="shared" si="51"/>
        <v>0</v>
      </c>
      <c r="J74" s="2">
        <f t="shared" si="51"/>
        <v>0</v>
      </c>
      <c r="K74" s="2">
        <f t="shared" si="51"/>
        <v>0</v>
      </c>
      <c r="L74" s="2">
        <f t="shared" si="51"/>
        <v>0</v>
      </c>
      <c r="M74" s="2">
        <f t="shared" si="51"/>
        <v>0</v>
      </c>
      <c r="N74" s="2">
        <f t="shared" si="51"/>
        <v>0</v>
      </c>
      <c r="O74" s="2">
        <f t="shared" si="51"/>
        <v>0</v>
      </c>
      <c r="P74" s="2">
        <f t="shared" si="51"/>
        <v>0</v>
      </c>
      <c r="Q74" s="2">
        <f t="shared" si="51"/>
        <v>0</v>
      </c>
      <c r="R74" s="2">
        <f t="shared" si="51"/>
        <v>0</v>
      </c>
      <c r="S74" s="2">
        <f t="shared" si="45"/>
        <v>0</v>
      </c>
      <c r="U74" s="2">
        <f t="shared" si="43"/>
        <v>0</v>
      </c>
      <c r="V74" s="20"/>
      <c r="W74" s="2">
        <f>(C65+D65)*$C$34</f>
        <v>0</v>
      </c>
    </row>
    <row r="75" spans="2:23" x14ac:dyDescent="0.35">
      <c r="B75" s="23"/>
    </row>
    <row r="76" spans="2:23" x14ac:dyDescent="0.35">
      <c r="F76" s="6" t="s">
        <v>18</v>
      </c>
      <c r="G76" s="6">
        <v>1</v>
      </c>
      <c r="H76" s="6">
        <v>2</v>
      </c>
      <c r="I76" s="6">
        <v>3</v>
      </c>
      <c r="J76" s="6">
        <v>4</v>
      </c>
      <c r="K76" s="6">
        <v>5</v>
      </c>
      <c r="L76" s="6">
        <v>6</v>
      </c>
      <c r="M76" s="6">
        <v>7</v>
      </c>
      <c r="N76" s="6">
        <v>8</v>
      </c>
      <c r="O76" s="6">
        <v>9</v>
      </c>
      <c r="P76" s="6">
        <v>10</v>
      </c>
      <c r="Q76" s="6">
        <v>11</v>
      </c>
      <c r="R76" s="6">
        <v>12</v>
      </c>
    </row>
    <row r="77" spans="2:23" ht="37.5" x14ac:dyDescent="0.35">
      <c r="B77" s="81" t="s">
        <v>17</v>
      </c>
      <c r="C77" s="81" t="s">
        <v>10</v>
      </c>
      <c r="D77" s="81" t="s">
        <v>11</v>
      </c>
      <c r="E77" s="81" t="s">
        <v>12</v>
      </c>
      <c r="F77" s="75"/>
      <c r="G77" s="60">
        <v>43313</v>
      </c>
      <c r="H77" s="60">
        <v>43344</v>
      </c>
      <c r="I77" s="60">
        <v>43374</v>
      </c>
      <c r="J77" s="60">
        <v>43405</v>
      </c>
      <c r="K77" s="60">
        <v>43435</v>
      </c>
      <c r="L77" s="60">
        <v>43466</v>
      </c>
      <c r="M77" s="60">
        <v>43497</v>
      </c>
      <c r="N77" s="60">
        <v>43525</v>
      </c>
      <c r="O77" s="60">
        <v>43556</v>
      </c>
      <c r="P77" s="60">
        <v>43586</v>
      </c>
      <c r="Q77" s="60">
        <v>43617</v>
      </c>
      <c r="R77" s="60">
        <v>43647</v>
      </c>
      <c r="S77" s="76" t="s">
        <v>16</v>
      </c>
      <c r="U77" s="81" t="s">
        <v>56</v>
      </c>
      <c r="W77" s="81" t="s">
        <v>16</v>
      </c>
    </row>
    <row r="78" spans="2:23" x14ac:dyDescent="0.35">
      <c r="B78" s="100">
        <v>43374</v>
      </c>
      <c r="C78" s="101">
        <f>I22</f>
        <v>0</v>
      </c>
      <c r="D78" s="102">
        <f>I23</f>
        <v>0</v>
      </c>
      <c r="E78" s="101">
        <f>I25</f>
        <v>0</v>
      </c>
      <c r="F78" s="3" t="s">
        <v>4</v>
      </c>
      <c r="G78" s="21"/>
      <c r="H78" s="21"/>
      <c r="I78" s="2">
        <f t="shared" ref="I78:R78" si="52">IF($C$25&gt;=I76-2,$C$28,0)*$C$78</f>
        <v>0</v>
      </c>
      <c r="J78" s="2">
        <f t="shared" si="52"/>
        <v>0</v>
      </c>
      <c r="K78" s="2">
        <f t="shared" si="52"/>
        <v>0</v>
      </c>
      <c r="L78" s="2">
        <f t="shared" si="52"/>
        <v>0</v>
      </c>
      <c r="M78" s="2">
        <f t="shared" si="52"/>
        <v>0</v>
      </c>
      <c r="N78" s="2">
        <f t="shared" si="52"/>
        <v>0</v>
      </c>
      <c r="O78" s="2">
        <f t="shared" si="52"/>
        <v>0</v>
      </c>
      <c r="P78" s="2">
        <f t="shared" si="52"/>
        <v>0</v>
      </c>
      <c r="Q78" s="2">
        <f t="shared" si="52"/>
        <v>0</v>
      </c>
      <c r="R78" s="2">
        <f t="shared" si="52"/>
        <v>0</v>
      </c>
      <c r="S78" s="2">
        <f>SUM(G78:R78)</f>
        <v>0</v>
      </c>
      <c r="U78" s="2">
        <f t="shared" ref="U78:U87" si="53">W78-S78</f>
        <v>0</v>
      </c>
      <c r="W78" s="2">
        <f>C78*$C$35</f>
        <v>0</v>
      </c>
    </row>
    <row r="79" spans="2:23" x14ac:dyDescent="0.35">
      <c r="B79" s="100"/>
      <c r="C79" s="101"/>
      <c r="D79" s="103"/>
      <c r="E79" s="101"/>
      <c r="F79" s="3" t="s">
        <v>5</v>
      </c>
      <c r="G79" s="21"/>
      <c r="H79" s="21"/>
      <c r="I79" s="2">
        <f t="shared" ref="I79:R79" si="54">IF($C$25+3=I76,$C$36,0)*$C$78</f>
        <v>0</v>
      </c>
      <c r="J79" s="2">
        <f t="shared" si="54"/>
        <v>0</v>
      </c>
      <c r="K79" s="2">
        <f t="shared" si="54"/>
        <v>0</v>
      </c>
      <c r="L79" s="2">
        <f t="shared" si="54"/>
        <v>0</v>
      </c>
      <c r="M79" s="2">
        <f t="shared" si="54"/>
        <v>0</v>
      </c>
      <c r="N79" s="2">
        <f t="shared" si="54"/>
        <v>0</v>
      </c>
      <c r="O79" s="2">
        <f t="shared" si="54"/>
        <v>0</v>
      </c>
      <c r="P79" s="2">
        <f t="shared" si="54"/>
        <v>0</v>
      </c>
      <c r="Q79" s="2">
        <f t="shared" si="54"/>
        <v>0</v>
      </c>
      <c r="R79" s="2">
        <f t="shared" si="54"/>
        <v>0</v>
      </c>
      <c r="S79" s="2">
        <f t="shared" ref="S79:S87" si="55">SUM(G79:R79)</f>
        <v>0</v>
      </c>
      <c r="T79" s="16"/>
      <c r="U79" s="2">
        <f t="shared" si="53"/>
        <v>0</v>
      </c>
      <c r="W79" s="2">
        <f>C78*$C$36</f>
        <v>0</v>
      </c>
    </row>
    <row r="80" spans="2:23" x14ac:dyDescent="0.35">
      <c r="B80" s="100"/>
      <c r="C80" s="101"/>
      <c r="D80" s="103"/>
      <c r="E80" s="101"/>
      <c r="F80" s="3" t="s">
        <v>6</v>
      </c>
      <c r="G80" s="21"/>
      <c r="H80" s="21"/>
      <c r="I80" s="2">
        <f t="shared" ref="I80:R80" si="56">IF($C$25&gt;=I76-2,$C$29,0)*$D$78</f>
        <v>0</v>
      </c>
      <c r="J80" s="2">
        <f t="shared" si="56"/>
        <v>0</v>
      </c>
      <c r="K80" s="2">
        <f t="shared" si="56"/>
        <v>0</v>
      </c>
      <c r="L80" s="2">
        <f t="shared" si="56"/>
        <v>0</v>
      </c>
      <c r="M80" s="2">
        <f t="shared" si="56"/>
        <v>0</v>
      </c>
      <c r="N80" s="2">
        <f t="shared" si="56"/>
        <v>0</v>
      </c>
      <c r="O80" s="2">
        <f t="shared" si="56"/>
        <v>0</v>
      </c>
      <c r="P80" s="2">
        <f t="shared" si="56"/>
        <v>0</v>
      </c>
      <c r="Q80" s="2">
        <f t="shared" si="56"/>
        <v>0</v>
      </c>
      <c r="R80" s="2">
        <f t="shared" si="56"/>
        <v>0</v>
      </c>
      <c r="S80" s="2">
        <f t="shared" si="55"/>
        <v>0</v>
      </c>
      <c r="T80" s="16"/>
      <c r="U80" s="2">
        <f t="shared" si="53"/>
        <v>0</v>
      </c>
      <c r="W80" s="2">
        <f>D78*$C$37</f>
        <v>0</v>
      </c>
    </row>
    <row r="81" spans="2:23" x14ac:dyDescent="0.35">
      <c r="B81" s="100"/>
      <c r="C81" s="101"/>
      <c r="D81" s="103"/>
      <c r="E81" s="101"/>
      <c r="F81" s="3" t="s">
        <v>7</v>
      </c>
      <c r="G81" s="21"/>
      <c r="H81" s="21"/>
      <c r="I81" s="2">
        <f t="shared" ref="I81:R81" si="57">IF($C$25+3=I76,$C$38,0)*$D$78</f>
        <v>0</v>
      </c>
      <c r="J81" s="2">
        <f t="shared" si="57"/>
        <v>0</v>
      </c>
      <c r="K81" s="2">
        <f t="shared" si="57"/>
        <v>0</v>
      </c>
      <c r="L81" s="2">
        <f t="shared" si="57"/>
        <v>0</v>
      </c>
      <c r="M81" s="2">
        <f t="shared" si="57"/>
        <v>0</v>
      </c>
      <c r="N81" s="2">
        <f t="shared" si="57"/>
        <v>0</v>
      </c>
      <c r="O81" s="2">
        <f t="shared" si="57"/>
        <v>0</v>
      </c>
      <c r="P81" s="2">
        <f t="shared" si="57"/>
        <v>0</v>
      </c>
      <c r="Q81" s="2">
        <f t="shared" si="57"/>
        <v>0</v>
      </c>
      <c r="R81" s="2">
        <f t="shared" si="57"/>
        <v>0</v>
      </c>
      <c r="S81" s="2">
        <f t="shared" si="55"/>
        <v>0</v>
      </c>
      <c r="T81" s="16"/>
      <c r="U81" s="2">
        <f t="shared" si="53"/>
        <v>0</v>
      </c>
      <c r="W81" s="2">
        <f>D78*$C$38</f>
        <v>0</v>
      </c>
    </row>
    <row r="82" spans="2:23" x14ac:dyDescent="0.35">
      <c r="B82" s="100"/>
      <c r="C82" s="101"/>
      <c r="D82" s="103"/>
      <c r="E82" s="101"/>
      <c r="F82" s="3" t="s">
        <v>8</v>
      </c>
      <c r="G82" s="21"/>
      <c r="H82" s="21"/>
      <c r="I82" s="2">
        <f t="shared" ref="I82:R82" si="58">IF($C$25&gt;=I76-2,$C$29,0)*$E$78</f>
        <v>0</v>
      </c>
      <c r="J82" s="2">
        <f t="shared" si="58"/>
        <v>0</v>
      </c>
      <c r="K82" s="2">
        <f t="shared" si="58"/>
        <v>0</v>
      </c>
      <c r="L82" s="2">
        <f t="shared" si="58"/>
        <v>0</v>
      </c>
      <c r="M82" s="2">
        <f t="shared" si="58"/>
        <v>0</v>
      </c>
      <c r="N82" s="2">
        <f t="shared" si="58"/>
        <v>0</v>
      </c>
      <c r="O82" s="2">
        <f t="shared" si="58"/>
        <v>0</v>
      </c>
      <c r="P82" s="2">
        <f t="shared" si="58"/>
        <v>0</v>
      </c>
      <c r="Q82" s="2">
        <f t="shared" si="58"/>
        <v>0</v>
      </c>
      <c r="R82" s="2">
        <f t="shared" si="58"/>
        <v>0</v>
      </c>
      <c r="S82" s="2">
        <f t="shared" si="55"/>
        <v>0</v>
      </c>
      <c r="T82" s="16"/>
      <c r="U82" s="2">
        <f t="shared" si="53"/>
        <v>0</v>
      </c>
      <c r="W82" s="2">
        <f>E78*$C$37</f>
        <v>0</v>
      </c>
    </row>
    <row r="83" spans="2:23" x14ac:dyDescent="0.35">
      <c r="B83" s="100"/>
      <c r="C83" s="101"/>
      <c r="D83" s="103"/>
      <c r="E83" s="101"/>
      <c r="F83" s="3" t="s">
        <v>9</v>
      </c>
      <c r="G83" s="21"/>
      <c r="H83" s="21"/>
      <c r="I83" s="2">
        <f t="shared" ref="I83:R83" si="59">IF($C$25+3=I76,$C$38,0)*$E$78</f>
        <v>0</v>
      </c>
      <c r="J83" s="2">
        <f t="shared" si="59"/>
        <v>0</v>
      </c>
      <c r="K83" s="2">
        <f t="shared" si="59"/>
        <v>0</v>
      </c>
      <c r="L83" s="2">
        <f t="shared" si="59"/>
        <v>0</v>
      </c>
      <c r="M83" s="2">
        <f t="shared" si="59"/>
        <v>0</v>
      </c>
      <c r="N83" s="2">
        <f t="shared" si="59"/>
        <v>0</v>
      </c>
      <c r="O83" s="2">
        <f t="shared" si="59"/>
        <v>0</v>
      </c>
      <c r="P83" s="2">
        <f t="shared" si="59"/>
        <v>0</v>
      </c>
      <c r="Q83" s="2">
        <f t="shared" si="59"/>
        <v>0</v>
      </c>
      <c r="R83" s="2">
        <f t="shared" si="59"/>
        <v>0</v>
      </c>
      <c r="S83" s="2">
        <f t="shared" si="55"/>
        <v>0</v>
      </c>
      <c r="T83" s="16"/>
      <c r="U83" s="2">
        <f t="shared" si="53"/>
        <v>0</v>
      </c>
      <c r="W83" s="2">
        <f>E78*$C$38</f>
        <v>0</v>
      </c>
    </row>
    <row r="84" spans="2:23" x14ac:dyDescent="0.35">
      <c r="B84" s="100"/>
      <c r="C84" s="101"/>
      <c r="D84" s="103"/>
      <c r="E84" s="101"/>
      <c r="F84" s="3" t="s">
        <v>14</v>
      </c>
      <c r="G84" s="18"/>
      <c r="H84" s="18"/>
      <c r="I84" s="21"/>
      <c r="J84" s="22"/>
      <c r="K84" s="2">
        <f>(C78+D78)*$C$30/2</f>
        <v>0</v>
      </c>
      <c r="L84" s="18"/>
      <c r="M84" s="18"/>
      <c r="N84" s="18"/>
      <c r="O84" s="18"/>
      <c r="P84" s="18"/>
      <c r="Q84" s="18"/>
      <c r="R84" s="18"/>
      <c r="S84" s="2">
        <f t="shared" si="55"/>
        <v>0</v>
      </c>
      <c r="U84" s="2">
        <f t="shared" si="53"/>
        <v>0</v>
      </c>
      <c r="W84" s="2">
        <f>(C78+D78)*$C$30</f>
        <v>0</v>
      </c>
    </row>
    <row r="85" spans="2:23" x14ac:dyDescent="0.35">
      <c r="B85" s="100"/>
      <c r="C85" s="101"/>
      <c r="D85" s="103"/>
      <c r="E85" s="101"/>
      <c r="F85" s="3" t="s">
        <v>15</v>
      </c>
      <c r="G85" s="18"/>
      <c r="H85" s="18"/>
      <c r="I85" s="21"/>
      <c r="J85" s="22"/>
      <c r="K85" s="2">
        <f>(C78+D78)*$C$31/2</f>
        <v>0</v>
      </c>
      <c r="L85" s="18"/>
      <c r="M85" s="18"/>
      <c r="N85" s="18"/>
      <c r="O85" s="18"/>
      <c r="P85" s="18"/>
      <c r="Q85" s="18"/>
      <c r="R85" s="18"/>
      <c r="S85" s="2">
        <f t="shared" si="55"/>
        <v>0</v>
      </c>
      <c r="U85" s="2">
        <f t="shared" si="53"/>
        <v>0</v>
      </c>
      <c r="W85" s="2">
        <f>(C78+D78)*$C$31</f>
        <v>0</v>
      </c>
    </row>
    <row r="86" spans="2:23" x14ac:dyDescent="0.35">
      <c r="B86" s="100"/>
      <c r="C86" s="101"/>
      <c r="D86" s="103"/>
      <c r="E86" s="101"/>
      <c r="F86" s="3" t="s">
        <v>22</v>
      </c>
      <c r="G86" s="21"/>
      <c r="H86" s="21"/>
      <c r="I86" s="2">
        <f t="shared" ref="I86:R86" si="60">IF($C$25&gt;=I76-2,$C$33,0)*($C$78+$D$78)</f>
        <v>0</v>
      </c>
      <c r="J86" s="2">
        <f t="shared" si="60"/>
        <v>0</v>
      </c>
      <c r="K86" s="2">
        <f t="shared" si="60"/>
        <v>0</v>
      </c>
      <c r="L86" s="2">
        <f t="shared" si="60"/>
        <v>0</v>
      </c>
      <c r="M86" s="2">
        <f t="shared" si="60"/>
        <v>0</v>
      </c>
      <c r="N86" s="2">
        <f t="shared" si="60"/>
        <v>0</v>
      </c>
      <c r="O86" s="2">
        <f t="shared" si="60"/>
        <v>0</v>
      </c>
      <c r="P86" s="2">
        <f t="shared" si="60"/>
        <v>0</v>
      </c>
      <c r="Q86" s="2">
        <f t="shared" si="60"/>
        <v>0</v>
      </c>
      <c r="R86" s="2">
        <f t="shared" si="60"/>
        <v>0</v>
      </c>
      <c r="S86" s="2">
        <f t="shared" si="55"/>
        <v>0</v>
      </c>
      <c r="U86" s="19">
        <f t="shared" si="53"/>
        <v>0</v>
      </c>
      <c r="W86" s="2">
        <f>(C78+D78)*($C$32*0.8)</f>
        <v>0</v>
      </c>
    </row>
    <row r="87" spans="2:23" x14ac:dyDescent="0.35">
      <c r="B87" s="100"/>
      <c r="C87" s="101"/>
      <c r="D87" s="104"/>
      <c r="E87" s="101"/>
      <c r="F87" s="3" t="s">
        <v>23</v>
      </c>
      <c r="G87" s="21"/>
      <c r="H87" s="21"/>
      <c r="I87" s="2">
        <f t="shared" ref="I87:R87" si="61">IF($C$25+1=I76-2,$C$34,0)*($C$78+$D$78)</f>
        <v>0</v>
      </c>
      <c r="J87" s="2">
        <f t="shared" si="61"/>
        <v>0</v>
      </c>
      <c r="K87" s="2">
        <f t="shared" si="61"/>
        <v>0</v>
      </c>
      <c r="L87" s="2">
        <f t="shared" si="61"/>
        <v>0</v>
      </c>
      <c r="M87" s="2">
        <f t="shared" si="61"/>
        <v>0</v>
      </c>
      <c r="N87" s="2">
        <f t="shared" si="61"/>
        <v>0</v>
      </c>
      <c r="O87" s="2">
        <f t="shared" si="61"/>
        <v>0</v>
      </c>
      <c r="P87" s="2">
        <f t="shared" si="61"/>
        <v>0</v>
      </c>
      <c r="Q87" s="2">
        <f t="shared" si="61"/>
        <v>0</v>
      </c>
      <c r="R87" s="2">
        <f t="shared" si="61"/>
        <v>0</v>
      </c>
      <c r="S87" s="2">
        <f t="shared" si="55"/>
        <v>0</v>
      </c>
      <c r="U87" s="2">
        <f t="shared" si="53"/>
        <v>0</v>
      </c>
      <c r="V87" s="20"/>
      <c r="W87" s="2">
        <f>(C78+D78)*$C$34</f>
        <v>0</v>
      </c>
    </row>
    <row r="89" spans="2:23" x14ac:dyDescent="0.35">
      <c r="F89" s="6" t="s">
        <v>18</v>
      </c>
      <c r="G89" s="6">
        <v>1</v>
      </c>
      <c r="H89" s="6">
        <v>2</v>
      </c>
      <c r="I89" s="6">
        <v>3</v>
      </c>
      <c r="J89" s="6">
        <v>4</v>
      </c>
      <c r="K89" s="6">
        <v>5</v>
      </c>
      <c r="L89" s="6">
        <v>6</v>
      </c>
      <c r="M89" s="6">
        <v>7</v>
      </c>
      <c r="N89" s="6">
        <v>8</v>
      </c>
      <c r="O89" s="6">
        <v>9</v>
      </c>
      <c r="P89" s="6">
        <v>10</v>
      </c>
      <c r="Q89" s="6">
        <v>11</v>
      </c>
      <c r="R89" s="6">
        <v>12</v>
      </c>
    </row>
    <row r="90" spans="2:23" ht="37.5" x14ac:dyDescent="0.35">
      <c r="B90" s="81" t="s">
        <v>17</v>
      </c>
      <c r="C90" s="81" t="s">
        <v>10</v>
      </c>
      <c r="D90" s="81" t="s">
        <v>11</v>
      </c>
      <c r="E90" s="81" t="s">
        <v>12</v>
      </c>
      <c r="F90" s="75"/>
      <c r="G90" s="60">
        <v>43313</v>
      </c>
      <c r="H90" s="60">
        <v>43344</v>
      </c>
      <c r="I90" s="60">
        <v>43374</v>
      </c>
      <c r="J90" s="60">
        <v>43405</v>
      </c>
      <c r="K90" s="60">
        <v>43435</v>
      </c>
      <c r="L90" s="60">
        <v>43466</v>
      </c>
      <c r="M90" s="60">
        <v>43497</v>
      </c>
      <c r="N90" s="60">
        <v>43525</v>
      </c>
      <c r="O90" s="60">
        <v>43556</v>
      </c>
      <c r="P90" s="60">
        <v>43586</v>
      </c>
      <c r="Q90" s="60">
        <v>43617</v>
      </c>
      <c r="R90" s="60">
        <v>43647</v>
      </c>
      <c r="S90" s="76" t="s">
        <v>16</v>
      </c>
      <c r="T90" s="20"/>
      <c r="U90" s="81" t="s">
        <v>56</v>
      </c>
      <c r="W90" s="81" t="s">
        <v>16</v>
      </c>
    </row>
    <row r="91" spans="2:23" x14ac:dyDescent="0.35">
      <c r="B91" s="100">
        <v>43405</v>
      </c>
      <c r="C91" s="101">
        <f>J22</f>
        <v>0</v>
      </c>
      <c r="D91" s="102">
        <f>J23</f>
        <v>1</v>
      </c>
      <c r="E91" s="101">
        <f>J25</f>
        <v>0</v>
      </c>
      <c r="F91" s="3" t="s">
        <v>4</v>
      </c>
      <c r="G91" s="21"/>
      <c r="H91" s="21"/>
      <c r="I91" s="21"/>
      <c r="J91" s="2">
        <f t="shared" ref="J91:R91" si="62">IF($C$25&gt;=J89-3,$C$28,0)*$C$91</f>
        <v>0</v>
      </c>
      <c r="K91" s="2">
        <f t="shared" si="62"/>
        <v>0</v>
      </c>
      <c r="L91" s="2">
        <f t="shared" si="62"/>
        <v>0</v>
      </c>
      <c r="M91" s="2">
        <f t="shared" si="62"/>
        <v>0</v>
      </c>
      <c r="N91" s="2">
        <f t="shared" si="62"/>
        <v>0</v>
      </c>
      <c r="O91" s="2">
        <f t="shared" si="62"/>
        <v>0</v>
      </c>
      <c r="P91" s="2">
        <f t="shared" si="62"/>
        <v>0</v>
      </c>
      <c r="Q91" s="2">
        <f t="shared" si="62"/>
        <v>0</v>
      </c>
      <c r="R91" s="2">
        <f t="shared" si="62"/>
        <v>0</v>
      </c>
      <c r="S91" s="2">
        <f>SUM(G91:R91)</f>
        <v>0</v>
      </c>
      <c r="T91" s="20"/>
      <c r="U91" s="2">
        <f t="shared" ref="U91:U100" si="63">W91-S91</f>
        <v>0</v>
      </c>
      <c r="W91" s="2">
        <f>C91*$C$35</f>
        <v>0</v>
      </c>
    </row>
    <row r="92" spans="2:23" x14ac:dyDescent="0.35">
      <c r="B92" s="100"/>
      <c r="C92" s="101"/>
      <c r="D92" s="103"/>
      <c r="E92" s="101"/>
      <c r="F92" s="3" t="s">
        <v>5</v>
      </c>
      <c r="G92" s="21"/>
      <c r="H92" s="21"/>
      <c r="I92" s="21"/>
      <c r="J92" s="2">
        <f t="shared" ref="J92:R92" si="64">IF($C$25+4=J89,$C$36,0)*$C$91</f>
        <v>0</v>
      </c>
      <c r="K92" s="2">
        <f t="shared" si="64"/>
        <v>0</v>
      </c>
      <c r="L92" s="2">
        <f t="shared" si="64"/>
        <v>0</v>
      </c>
      <c r="M92" s="2">
        <f t="shared" si="64"/>
        <v>0</v>
      </c>
      <c r="N92" s="2">
        <f t="shared" si="64"/>
        <v>0</v>
      </c>
      <c r="O92" s="2">
        <f t="shared" si="64"/>
        <v>0</v>
      </c>
      <c r="P92" s="2">
        <f t="shared" si="64"/>
        <v>0</v>
      </c>
      <c r="Q92" s="2">
        <f t="shared" si="64"/>
        <v>0</v>
      </c>
      <c r="R92" s="2">
        <f t="shared" si="64"/>
        <v>0</v>
      </c>
      <c r="S92" s="2">
        <f t="shared" ref="S92:S100" si="65">SUM(G92:R92)</f>
        <v>0</v>
      </c>
      <c r="T92" s="24"/>
      <c r="U92" s="2">
        <f t="shared" si="63"/>
        <v>0</v>
      </c>
      <c r="W92" s="2">
        <f>C91*$C$36</f>
        <v>0</v>
      </c>
    </row>
    <row r="93" spans="2:23" x14ac:dyDescent="0.35">
      <c r="B93" s="100"/>
      <c r="C93" s="101"/>
      <c r="D93" s="103"/>
      <c r="E93" s="101"/>
      <c r="F93" s="3" t="s">
        <v>6</v>
      </c>
      <c r="G93" s="21"/>
      <c r="H93" s="21"/>
      <c r="I93" s="21"/>
      <c r="J93" s="2">
        <f t="shared" ref="J93:R93" si="66">IF($C$25&gt;=J89-3,$C$29,0)*$D$91</f>
        <v>126</v>
      </c>
      <c r="K93" s="2">
        <f t="shared" si="66"/>
        <v>126</v>
      </c>
      <c r="L93" s="2">
        <f t="shared" si="66"/>
        <v>126</v>
      </c>
      <c r="M93" s="2">
        <f t="shared" si="66"/>
        <v>126</v>
      </c>
      <c r="N93" s="2">
        <f t="shared" si="66"/>
        <v>126</v>
      </c>
      <c r="O93" s="2">
        <f t="shared" si="66"/>
        <v>126</v>
      </c>
      <c r="P93" s="2">
        <f t="shared" si="66"/>
        <v>126</v>
      </c>
      <c r="Q93" s="2">
        <f t="shared" si="66"/>
        <v>126</v>
      </c>
      <c r="R93" s="2">
        <f t="shared" si="66"/>
        <v>126</v>
      </c>
      <c r="S93" s="2">
        <f t="shared" si="65"/>
        <v>1134</v>
      </c>
      <c r="T93" s="24"/>
      <c r="U93" s="2">
        <f t="shared" si="63"/>
        <v>378</v>
      </c>
      <c r="W93" s="2">
        <f>D91*$C$37</f>
        <v>1512</v>
      </c>
    </row>
    <row r="94" spans="2:23" x14ac:dyDescent="0.35">
      <c r="B94" s="100"/>
      <c r="C94" s="101"/>
      <c r="D94" s="103"/>
      <c r="E94" s="101"/>
      <c r="F94" s="3" t="s">
        <v>7</v>
      </c>
      <c r="G94" s="21"/>
      <c r="H94" s="21"/>
      <c r="I94" s="21"/>
      <c r="J94" s="2">
        <f t="shared" ref="J94:R94" si="67">IF($C$25+4=J89,$C$38,0)*$D$91</f>
        <v>0</v>
      </c>
      <c r="K94" s="2">
        <f t="shared" si="67"/>
        <v>0</v>
      </c>
      <c r="L94" s="2">
        <f t="shared" si="67"/>
        <v>0</v>
      </c>
      <c r="M94" s="2">
        <f t="shared" si="67"/>
        <v>0</v>
      </c>
      <c r="N94" s="2">
        <f t="shared" si="67"/>
        <v>0</v>
      </c>
      <c r="O94" s="2">
        <f t="shared" si="67"/>
        <v>0</v>
      </c>
      <c r="P94" s="2">
        <f t="shared" si="67"/>
        <v>0</v>
      </c>
      <c r="Q94" s="2">
        <f t="shared" si="67"/>
        <v>0</v>
      </c>
      <c r="R94" s="2">
        <f t="shared" si="67"/>
        <v>0</v>
      </c>
      <c r="S94" s="2">
        <f t="shared" si="65"/>
        <v>0</v>
      </c>
      <c r="T94" s="24"/>
      <c r="U94" s="2">
        <f t="shared" si="63"/>
        <v>378</v>
      </c>
      <c r="W94" s="2">
        <f>D91*$C$38</f>
        <v>378</v>
      </c>
    </row>
    <row r="95" spans="2:23" x14ac:dyDescent="0.35">
      <c r="B95" s="100"/>
      <c r="C95" s="101"/>
      <c r="D95" s="103"/>
      <c r="E95" s="101"/>
      <c r="F95" s="3" t="s">
        <v>8</v>
      </c>
      <c r="G95" s="21"/>
      <c r="H95" s="21"/>
      <c r="I95" s="21"/>
      <c r="J95" s="2">
        <f t="shared" ref="J95:R95" si="68">IF($C$25&gt;=J89-3,$C$29,0)*$E$91</f>
        <v>0</v>
      </c>
      <c r="K95" s="2">
        <f t="shared" si="68"/>
        <v>0</v>
      </c>
      <c r="L95" s="2">
        <f t="shared" si="68"/>
        <v>0</v>
      </c>
      <c r="M95" s="2">
        <f t="shared" si="68"/>
        <v>0</v>
      </c>
      <c r="N95" s="2">
        <f t="shared" si="68"/>
        <v>0</v>
      </c>
      <c r="O95" s="2">
        <f t="shared" si="68"/>
        <v>0</v>
      </c>
      <c r="P95" s="2">
        <f t="shared" si="68"/>
        <v>0</v>
      </c>
      <c r="Q95" s="2">
        <f t="shared" si="68"/>
        <v>0</v>
      </c>
      <c r="R95" s="2">
        <f t="shared" si="68"/>
        <v>0</v>
      </c>
      <c r="S95" s="2">
        <f t="shared" si="65"/>
        <v>0</v>
      </c>
      <c r="T95" s="24"/>
      <c r="U95" s="2">
        <f t="shared" si="63"/>
        <v>0</v>
      </c>
      <c r="W95" s="2">
        <f>E91*$C$37</f>
        <v>0</v>
      </c>
    </row>
    <row r="96" spans="2:23" x14ac:dyDescent="0.35">
      <c r="B96" s="100"/>
      <c r="C96" s="101"/>
      <c r="D96" s="103"/>
      <c r="E96" s="101"/>
      <c r="F96" s="3" t="s">
        <v>9</v>
      </c>
      <c r="G96" s="21"/>
      <c r="H96" s="21"/>
      <c r="I96" s="21"/>
      <c r="J96" s="2">
        <f t="shared" ref="J96:R96" si="69">IF($C$25+4=J89,$C$38,0)*$E$91</f>
        <v>0</v>
      </c>
      <c r="K96" s="2">
        <f t="shared" si="69"/>
        <v>0</v>
      </c>
      <c r="L96" s="2">
        <f t="shared" si="69"/>
        <v>0</v>
      </c>
      <c r="M96" s="2">
        <f t="shared" si="69"/>
        <v>0</v>
      </c>
      <c r="N96" s="2">
        <f t="shared" si="69"/>
        <v>0</v>
      </c>
      <c r="O96" s="2">
        <f t="shared" si="69"/>
        <v>0</v>
      </c>
      <c r="P96" s="2">
        <f t="shared" si="69"/>
        <v>0</v>
      </c>
      <c r="Q96" s="2">
        <f t="shared" si="69"/>
        <v>0</v>
      </c>
      <c r="R96" s="2">
        <f t="shared" si="69"/>
        <v>0</v>
      </c>
      <c r="S96" s="2">
        <f t="shared" si="65"/>
        <v>0</v>
      </c>
      <c r="T96" s="24"/>
      <c r="U96" s="2">
        <f t="shared" si="63"/>
        <v>0</v>
      </c>
      <c r="W96" s="2">
        <f>E91*$C$38</f>
        <v>0</v>
      </c>
    </row>
    <row r="97" spans="2:23" x14ac:dyDescent="0.35">
      <c r="B97" s="100"/>
      <c r="C97" s="101"/>
      <c r="D97" s="103"/>
      <c r="E97" s="101"/>
      <c r="F97" s="3" t="s">
        <v>14</v>
      </c>
      <c r="G97" s="18"/>
      <c r="H97" s="18"/>
      <c r="I97" s="21"/>
      <c r="J97" s="22"/>
      <c r="K97" s="22"/>
      <c r="L97" s="2">
        <f>(C91+D91)*$C$30/2</f>
        <v>500</v>
      </c>
      <c r="M97" s="18"/>
      <c r="N97" s="18"/>
      <c r="O97" s="18"/>
      <c r="P97" s="18"/>
      <c r="Q97" s="18"/>
      <c r="R97" s="18"/>
      <c r="S97" s="2">
        <f t="shared" si="65"/>
        <v>500</v>
      </c>
      <c r="T97" s="20"/>
      <c r="U97" s="2">
        <f t="shared" si="63"/>
        <v>500</v>
      </c>
      <c r="W97" s="2">
        <f>(C91+D91)*$C$30</f>
        <v>1000</v>
      </c>
    </row>
    <row r="98" spans="2:23" x14ac:dyDescent="0.35">
      <c r="B98" s="100"/>
      <c r="C98" s="101"/>
      <c r="D98" s="103"/>
      <c r="E98" s="101"/>
      <c r="F98" s="3" t="s">
        <v>15</v>
      </c>
      <c r="G98" s="18"/>
      <c r="H98" s="18"/>
      <c r="I98" s="21"/>
      <c r="J98" s="22"/>
      <c r="K98" s="22"/>
      <c r="L98" s="2">
        <f>(C91+D91)*$C$31/2</f>
        <v>500</v>
      </c>
      <c r="M98" s="18"/>
      <c r="N98" s="18"/>
      <c r="O98" s="18"/>
      <c r="P98" s="18"/>
      <c r="Q98" s="18"/>
      <c r="R98" s="18"/>
      <c r="S98" s="2">
        <f t="shared" si="65"/>
        <v>500</v>
      </c>
      <c r="T98" s="20"/>
      <c r="U98" s="2">
        <f t="shared" si="63"/>
        <v>500</v>
      </c>
      <c r="W98" s="2">
        <f>(C91+D91)*$C$31</f>
        <v>1000</v>
      </c>
    </row>
    <row r="99" spans="2:23" x14ac:dyDescent="0.35">
      <c r="B99" s="100"/>
      <c r="C99" s="101"/>
      <c r="D99" s="103"/>
      <c r="E99" s="101"/>
      <c r="F99" s="3" t="s">
        <v>22</v>
      </c>
      <c r="G99" s="21"/>
      <c r="H99" s="21"/>
      <c r="I99" s="21"/>
      <c r="J99" s="2">
        <f t="shared" ref="J99:R99" si="70">IF($C$25&gt;=J89-3,$C$33,0)*($C$91+$D$91)</f>
        <v>0</v>
      </c>
      <c r="K99" s="2">
        <f t="shared" si="70"/>
        <v>0</v>
      </c>
      <c r="L99" s="2">
        <f t="shared" si="70"/>
        <v>0</v>
      </c>
      <c r="M99" s="2">
        <f t="shared" si="70"/>
        <v>0</v>
      </c>
      <c r="N99" s="2">
        <f t="shared" si="70"/>
        <v>0</v>
      </c>
      <c r="O99" s="2">
        <f t="shared" si="70"/>
        <v>0</v>
      </c>
      <c r="P99" s="2">
        <f t="shared" si="70"/>
        <v>0</v>
      </c>
      <c r="Q99" s="2">
        <f t="shared" si="70"/>
        <v>0</v>
      </c>
      <c r="R99" s="2">
        <f t="shared" si="70"/>
        <v>0</v>
      </c>
      <c r="S99" s="2">
        <f t="shared" si="65"/>
        <v>0</v>
      </c>
      <c r="T99" s="20"/>
      <c r="U99" s="19">
        <f t="shared" si="63"/>
        <v>0</v>
      </c>
      <c r="W99" s="2">
        <f>(C91+D91)*($C$32*0.8)</f>
        <v>0</v>
      </c>
    </row>
    <row r="100" spans="2:23" x14ac:dyDescent="0.35">
      <c r="B100" s="100"/>
      <c r="C100" s="101"/>
      <c r="D100" s="104"/>
      <c r="E100" s="101"/>
      <c r="F100" s="3" t="s">
        <v>23</v>
      </c>
      <c r="G100" s="21"/>
      <c r="H100" s="21"/>
      <c r="I100" s="21"/>
      <c r="J100" s="2">
        <f t="shared" ref="J100:R100" si="71">IF($C$25+1=J89-3,$C$34,0)*($C$91+$D$91)</f>
        <v>0</v>
      </c>
      <c r="K100" s="2">
        <f t="shared" si="71"/>
        <v>0</v>
      </c>
      <c r="L100" s="2">
        <f t="shared" si="71"/>
        <v>0</v>
      </c>
      <c r="M100" s="2">
        <f t="shared" si="71"/>
        <v>0</v>
      </c>
      <c r="N100" s="2">
        <f t="shared" si="71"/>
        <v>0</v>
      </c>
      <c r="O100" s="2">
        <f t="shared" si="71"/>
        <v>0</v>
      </c>
      <c r="P100" s="2">
        <f t="shared" si="71"/>
        <v>0</v>
      </c>
      <c r="Q100" s="2">
        <f t="shared" si="71"/>
        <v>0</v>
      </c>
      <c r="R100" s="2">
        <f t="shared" si="71"/>
        <v>0</v>
      </c>
      <c r="S100" s="2">
        <f t="shared" si="65"/>
        <v>0</v>
      </c>
      <c r="T100" s="20"/>
      <c r="U100" s="2">
        <f t="shared" si="63"/>
        <v>0</v>
      </c>
      <c r="V100" s="20"/>
      <c r="W100" s="2">
        <f>(C91+D91)*$C$34</f>
        <v>0</v>
      </c>
    </row>
    <row r="102" spans="2:23" x14ac:dyDescent="0.35">
      <c r="F102" s="6" t="s">
        <v>18</v>
      </c>
      <c r="G102" s="6">
        <v>1</v>
      </c>
      <c r="H102" s="6">
        <v>2</v>
      </c>
      <c r="I102" s="6">
        <v>3</v>
      </c>
      <c r="J102" s="6">
        <v>4</v>
      </c>
      <c r="K102" s="6">
        <v>5</v>
      </c>
      <c r="L102" s="6">
        <v>6</v>
      </c>
      <c r="M102" s="6">
        <v>7</v>
      </c>
      <c r="N102" s="6">
        <v>8</v>
      </c>
      <c r="O102" s="6">
        <v>9</v>
      </c>
      <c r="P102" s="6">
        <v>10</v>
      </c>
      <c r="Q102" s="6">
        <v>11</v>
      </c>
      <c r="R102" s="6">
        <v>12</v>
      </c>
    </row>
    <row r="103" spans="2:23" ht="37.5" x14ac:dyDescent="0.35">
      <c r="B103" s="81" t="s">
        <v>17</v>
      </c>
      <c r="C103" s="81" t="s">
        <v>10</v>
      </c>
      <c r="D103" s="81" t="s">
        <v>11</v>
      </c>
      <c r="E103" s="81" t="s">
        <v>12</v>
      </c>
      <c r="F103" s="75"/>
      <c r="G103" s="60">
        <v>43313</v>
      </c>
      <c r="H103" s="60">
        <v>43344</v>
      </c>
      <c r="I103" s="60">
        <v>43374</v>
      </c>
      <c r="J103" s="60">
        <v>43405</v>
      </c>
      <c r="K103" s="60">
        <v>43435</v>
      </c>
      <c r="L103" s="60">
        <v>43466</v>
      </c>
      <c r="M103" s="60">
        <v>43497</v>
      </c>
      <c r="N103" s="60">
        <v>43525</v>
      </c>
      <c r="O103" s="60">
        <v>43556</v>
      </c>
      <c r="P103" s="60">
        <v>43586</v>
      </c>
      <c r="Q103" s="60">
        <v>43617</v>
      </c>
      <c r="R103" s="60">
        <v>43647</v>
      </c>
      <c r="S103" s="76" t="s">
        <v>16</v>
      </c>
      <c r="T103" s="20"/>
      <c r="U103" s="81" t="s">
        <v>56</v>
      </c>
      <c r="W103" s="81" t="s">
        <v>16</v>
      </c>
    </row>
    <row r="104" spans="2:23" x14ac:dyDescent="0.35">
      <c r="B104" s="100">
        <v>43435</v>
      </c>
      <c r="C104" s="101">
        <f>K22</f>
        <v>0</v>
      </c>
      <c r="D104" s="102">
        <f>K23</f>
        <v>0</v>
      </c>
      <c r="E104" s="101">
        <f>K25</f>
        <v>0</v>
      </c>
      <c r="F104" s="3" t="s">
        <v>4</v>
      </c>
      <c r="G104" s="21"/>
      <c r="H104" s="21"/>
      <c r="I104" s="21"/>
      <c r="J104" s="21"/>
      <c r="K104" s="2">
        <f t="shared" ref="K104:R104" si="72">IF($C$25&gt;=K102-4,$C$28,0)*$C$104</f>
        <v>0</v>
      </c>
      <c r="L104" s="2">
        <f t="shared" si="72"/>
        <v>0</v>
      </c>
      <c r="M104" s="2">
        <f t="shared" si="72"/>
        <v>0</v>
      </c>
      <c r="N104" s="2">
        <f t="shared" si="72"/>
        <v>0</v>
      </c>
      <c r="O104" s="2">
        <f t="shared" si="72"/>
        <v>0</v>
      </c>
      <c r="P104" s="2">
        <f t="shared" si="72"/>
        <v>0</v>
      </c>
      <c r="Q104" s="2">
        <f t="shared" si="72"/>
        <v>0</v>
      </c>
      <c r="R104" s="2">
        <f t="shared" si="72"/>
        <v>0</v>
      </c>
      <c r="S104" s="2">
        <f>SUM(G104:R104)</f>
        <v>0</v>
      </c>
      <c r="T104" s="20"/>
      <c r="U104" s="2">
        <f t="shared" ref="U104:U109" si="73">W104-S104</f>
        <v>0</v>
      </c>
      <c r="W104" s="2">
        <f>C104*$C$35</f>
        <v>0</v>
      </c>
    </row>
    <row r="105" spans="2:23" x14ac:dyDescent="0.35">
      <c r="B105" s="100"/>
      <c r="C105" s="101"/>
      <c r="D105" s="103"/>
      <c r="E105" s="101"/>
      <c r="F105" s="3" t="s">
        <v>5</v>
      </c>
      <c r="G105" s="21"/>
      <c r="H105" s="21"/>
      <c r="I105" s="21"/>
      <c r="J105" s="21"/>
      <c r="K105" s="2">
        <f t="shared" ref="K105:R105" si="74">IF($C$25+5=K102,$C$36,0)*$C$104</f>
        <v>0</v>
      </c>
      <c r="L105" s="2">
        <f t="shared" si="74"/>
        <v>0</v>
      </c>
      <c r="M105" s="2">
        <f t="shared" si="74"/>
        <v>0</v>
      </c>
      <c r="N105" s="2">
        <f t="shared" si="74"/>
        <v>0</v>
      </c>
      <c r="O105" s="2">
        <f t="shared" si="74"/>
        <v>0</v>
      </c>
      <c r="P105" s="2">
        <f t="shared" si="74"/>
        <v>0</v>
      </c>
      <c r="Q105" s="2">
        <f t="shared" si="74"/>
        <v>0</v>
      </c>
      <c r="R105" s="2">
        <f t="shared" si="74"/>
        <v>0</v>
      </c>
      <c r="S105" s="2">
        <f t="shared" ref="S105:S113" si="75">SUM(G105:R105)</f>
        <v>0</v>
      </c>
      <c r="T105" s="24"/>
      <c r="U105" s="2">
        <f t="shared" si="73"/>
        <v>0</v>
      </c>
      <c r="W105" s="2">
        <f>C104*$C$36</f>
        <v>0</v>
      </c>
    </row>
    <row r="106" spans="2:23" x14ac:dyDescent="0.35">
      <c r="B106" s="100"/>
      <c r="C106" s="101"/>
      <c r="D106" s="103"/>
      <c r="E106" s="101"/>
      <c r="F106" s="3" t="s">
        <v>6</v>
      </c>
      <c r="G106" s="21"/>
      <c r="H106" s="21"/>
      <c r="I106" s="21"/>
      <c r="J106" s="21"/>
      <c r="K106" s="2">
        <f t="shared" ref="K106:R106" si="76">IF($C$25&gt;=K102-4,$C$29,0)*$D$104</f>
        <v>0</v>
      </c>
      <c r="L106" s="2">
        <f t="shared" si="76"/>
        <v>0</v>
      </c>
      <c r="M106" s="2">
        <f t="shared" si="76"/>
        <v>0</v>
      </c>
      <c r="N106" s="2">
        <f t="shared" si="76"/>
        <v>0</v>
      </c>
      <c r="O106" s="2">
        <f t="shared" si="76"/>
        <v>0</v>
      </c>
      <c r="P106" s="2">
        <f t="shared" si="76"/>
        <v>0</v>
      </c>
      <c r="Q106" s="2">
        <f t="shared" si="76"/>
        <v>0</v>
      </c>
      <c r="R106" s="2">
        <f t="shared" si="76"/>
        <v>0</v>
      </c>
      <c r="S106" s="2">
        <f t="shared" si="75"/>
        <v>0</v>
      </c>
      <c r="T106" s="24"/>
      <c r="U106" s="2">
        <f t="shared" si="73"/>
        <v>0</v>
      </c>
      <c r="W106" s="2">
        <f>D104*$C$37</f>
        <v>0</v>
      </c>
    </row>
    <row r="107" spans="2:23" x14ac:dyDescent="0.35">
      <c r="B107" s="100"/>
      <c r="C107" s="101"/>
      <c r="D107" s="103"/>
      <c r="E107" s="101"/>
      <c r="F107" s="3" t="s">
        <v>7</v>
      </c>
      <c r="G107" s="21"/>
      <c r="H107" s="21"/>
      <c r="I107" s="21"/>
      <c r="J107" s="21"/>
      <c r="K107" s="2">
        <f t="shared" ref="K107:R107" si="77">IF($C$25+5=K102,$C$38,0)*$D$104</f>
        <v>0</v>
      </c>
      <c r="L107" s="2">
        <f t="shared" si="77"/>
        <v>0</v>
      </c>
      <c r="M107" s="2">
        <f t="shared" si="77"/>
        <v>0</v>
      </c>
      <c r="N107" s="2">
        <f t="shared" si="77"/>
        <v>0</v>
      </c>
      <c r="O107" s="2">
        <f t="shared" si="77"/>
        <v>0</v>
      </c>
      <c r="P107" s="2">
        <f t="shared" si="77"/>
        <v>0</v>
      </c>
      <c r="Q107" s="2">
        <f t="shared" si="77"/>
        <v>0</v>
      </c>
      <c r="R107" s="2">
        <f t="shared" si="77"/>
        <v>0</v>
      </c>
      <c r="S107" s="2">
        <f t="shared" si="75"/>
        <v>0</v>
      </c>
      <c r="T107" s="24"/>
      <c r="U107" s="2">
        <f t="shared" si="73"/>
        <v>0</v>
      </c>
      <c r="W107" s="2">
        <f>D104*$C$38</f>
        <v>0</v>
      </c>
    </row>
    <row r="108" spans="2:23" x14ac:dyDescent="0.35">
      <c r="B108" s="100"/>
      <c r="C108" s="101"/>
      <c r="D108" s="103"/>
      <c r="E108" s="101"/>
      <c r="F108" s="3" t="s">
        <v>8</v>
      </c>
      <c r="G108" s="21"/>
      <c r="H108" s="21"/>
      <c r="I108" s="21"/>
      <c r="J108" s="21"/>
      <c r="K108" s="2">
        <f t="shared" ref="K108:R108" si="78">IF($C$25&gt;=K102-4,$C$29,0)*$E$104</f>
        <v>0</v>
      </c>
      <c r="L108" s="2">
        <f t="shared" si="78"/>
        <v>0</v>
      </c>
      <c r="M108" s="2">
        <f t="shared" si="78"/>
        <v>0</v>
      </c>
      <c r="N108" s="2">
        <f t="shared" si="78"/>
        <v>0</v>
      </c>
      <c r="O108" s="2">
        <f t="shared" si="78"/>
        <v>0</v>
      </c>
      <c r="P108" s="2">
        <f t="shared" si="78"/>
        <v>0</v>
      </c>
      <c r="Q108" s="2">
        <f t="shared" si="78"/>
        <v>0</v>
      </c>
      <c r="R108" s="2">
        <f t="shared" si="78"/>
        <v>0</v>
      </c>
      <c r="S108" s="2">
        <f t="shared" si="75"/>
        <v>0</v>
      </c>
      <c r="T108" s="24"/>
      <c r="U108" s="2">
        <f t="shared" si="73"/>
        <v>0</v>
      </c>
      <c r="W108" s="2">
        <f>E104*$C$37</f>
        <v>0</v>
      </c>
    </row>
    <row r="109" spans="2:23" x14ac:dyDescent="0.35">
      <c r="B109" s="100"/>
      <c r="C109" s="101"/>
      <c r="D109" s="103"/>
      <c r="E109" s="101"/>
      <c r="F109" s="3" t="s">
        <v>9</v>
      </c>
      <c r="G109" s="21"/>
      <c r="H109" s="21"/>
      <c r="I109" s="21"/>
      <c r="J109" s="21"/>
      <c r="K109" s="2">
        <f t="shared" ref="K109:R109" si="79">IF($C$25+5=K102,$C$38,0)*$E$104</f>
        <v>0</v>
      </c>
      <c r="L109" s="2">
        <f t="shared" si="79"/>
        <v>0</v>
      </c>
      <c r="M109" s="2">
        <f t="shared" si="79"/>
        <v>0</v>
      </c>
      <c r="N109" s="2">
        <f t="shared" si="79"/>
        <v>0</v>
      </c>
      <c r="O109" s="2">
        <f t="shared" si="79"/>
        <v>0</v>
      </c>
      <c r="P109" s="2">
        <f t="shared" si="79"/>
        <v>0</v>
      </c>
      <c r="Q109" s="2">
        <f t="shared" si="79"/>
        <v>0</v>
      </c>
      <c r="R109" s="2">
        <f t="shared" si="79"/>
        <v>0</v>
      </c>
      <c r="S109" s="2">
        <f t="shared" si="75"/>
        <v>0</v>
      </c>
      <c r="T109" s="24"/>
      <c r="U109" s="2">
        <f t="shared" si="73"/>
        <v>0</v>
      </c>
      <c r="W109" s="2">
        <f>E104*$C$38</f>
        <v>0</v>
      </c>
    </row>
    <row r="110" spans="2:23" x14ac:dyDescent="0.35">
      <c r="B110" s="100"/>
      <c r="C110" s="101"/>
      <c r="D110" s="103"/>
      <c r="E110" s="101"/>
      <c r="F110" s="3" t="s">
        <v>14</v>
      </c>
      <c r="G110" s="18"/>
      <c r="H110" s="18"/>
      <c r="I110" s="21"/>
      <c r="J110" s="22"/>
      <c r="K110" s="22"/>
      <c r="L110" s="22"/>
      <c r="M110" s="2">
        <f>(C104+D104)*$C$30/2</f>
        <v>0</v>
      </c>
      <c r="N110" s="18"/>
      <c r="O110" s="18"/>
      <c r="P110" s="18"/>
      <c r="Q110" s="18"/>
      <c r="R110" s="18"/>
      <c r="S110" s="2">
        <f t="shared" si="75"/>
        <v>0</v>
      </c>
      <c r="T110" s="20"/>
      <c r="U110" s="2">
        <f>(C104+D104)*$C$30/2</f>
        <v>0</v>
      </c>
      <c r="W110" s="2">
        <f>(C104+D104)*$C$30</f>
        <v>0</v>
      </c>
    </row>
    <row r="111" spans="2:23" x14ac:dyDescent="0.35">
      <c r="B111" s="100"/>
      <c r="C111" s="101"/>
      <c r="D111" s="103"/>
      <c r="E111" s="101"/>
      <c r="F111" s="3" t="s">
        <v>15</v>
      </c>
      <c r="G111" s="18"/>
      <c r="H111" s="18"/>
      <c r="I111" s="21"/>
      <c r="J111" s="22"/>
      <c r="K111" s="22"/>
      <c r="L111" s="22"/>
      <c r="M111" s="2">
        <f>(C104+D104)*$C$31/2</f>
        <v>0</v>
      </c>
      <c r="N111" s="18"/>
      <c r="O111" s="18"/>
      <c r="P111" s="18"/>
      <c r="Q111" s="18"/>
      <c r="R111" s="18"/>
      <c r="S111" s="2">
        <f t="shared" si="75"/>
        <v>0</v>
      </c>
      <c r="T111" s="20"/>
      <c r="U111" s="2">
        <f>(C104+D104)*$C$31/2</f>
        <v>0</v>
      </c>
      <c r="W111" s="2">
        <f>(C104+D104)*$C$31</f>
        <v>0</v>
      </c>
    </row>
    <row r="112" spans="2:23" x14ac:dyDescent="0.35">
      <c r="B112" s="100"/>
      <c r="C112" s="101"/>
      <c r="D112" s="103"/>
      <c r="E112" s="101"/>
      <c r="F112" s="3" t="s">
        <v>22</v>
      </c>
      <c r="G112" s="21"/>
      <c r="H112" s="21"/>
      <c r="I112" s="21"/>
      <c r="J112" s="21"/>
      <c r="K112" s="2">
        <f t="shared" ref="K112:R112" si="80">IF($C$25&gt;=K102-4,$C$33,0)*($C$104+$D$104)</f>
        <v>0</v>
      </c>
      <c r="L112" s="2">
        <f t="shared" si="80"/>
        <v>0</v>
      </c>
      <c r="M112" s="2">
        <f t="shared" si="80"/>
        <v>0</v>
      </c>
      <c r="N112" s="2">
        <f t="shared" si="80"/>
        <v>0</v>
      </c>
      <c r="O112" s="2">
        <f t="shared" si="80"/>
        <v>0</v>
      </c>
      <c r="P112" s="2">
        <f t="shared" si="80"/>
        <v>0</v>
      </c>
      <c r="Q112" s="2">
        <f t="shared" si="80"/>
        <v>0</v>
      </c>
      <c r="R112" s="2">
        <f t="shared" si="80"/>
        <v>0</v>
      </c>
      <c r="S112" s="2">
        <f t="shared" si="75"/>
        <v>0</v>
      </c>
      <c r="T112" s="20"/>
      <c r="U112" s="19">
        <f>W112-S112</f>
        <v>0</v>
      </c>
      <c r="W112" s="2">
        <f>(C104+D104)*($C$32*0.8)</f>
        <v>0</v>
      </c>
    </row>
    <row r="113" spans="2:23" x14ac:dyDescent="0.35">
      <c r="B113" s="100"/>
      <c r="C113" s="101"/>
      <c r="D113" s="104"/>
      <c r="E113" s="101"/>
      <c r="F113" s="3" t="s">
        <v>23</v>
      </c>
      <c r="G113" s="21"/>
      <c r="H113" s="21"/>
      <c r="I113" s="21"/>
      <c r="J113" s="21"/>
      <c r="K113" s="2">
        <f t="shared" ref="K113:R113" si="81">IF($C$25+1=K102-4,$C$34,0)*($C$104+$D$104)</f>
        <v>0</v>
      </c>
      <c r="L113" s="2">
        <f t="shared" si="81"/>
        <v>0</v>
      </c>
      <c r="M113" s="2">
        <f t="shared" si="81"/>
        <v>0</v>
      </c>
      <c r="N113" s="2">
        <f t="shared" si="81"/>
        <v>0</v>
      </c>
      <c r="O113" s="2">
        <f t="shared" si="81"/>
        <v>0</v>
      </c>
      <c r="P113" s="2">
        <f t="shared" si="81"/>
        <v>0</v>
      </c>
      <c r="Q113" s="2">
        <f t="shared" si="81"/>
        <v>0</v>
      </c>
      <c r="R113" s="2">
        <f t="shared" si="81"/>
        <v>0</v>
      </c>
      <c r="S113" s="2">
        <f t="shared" si="75"/>
        <v>0</v>
      </c>
      <c r="T113" s="20"/>
      <c r="U113" s="2">
        <f>W113-S113</f>
        <v>0</v>
      </c>
      <c r="V113" s="20"/>
      <c r="W113" s="2">
        <f>(C104+D104)*$C$34</f>
        <v>0</v>
      </c>
    </row>
    <row r="115" spans="2:23" x14ac:dyDescent="0.35">
      <c r="F115" s="6" t="s">
        <v>18</v>
      </c>
      <c r="G115" s="6">
        <v>1</v>
      </c>
      <c r="H115" s="6">
        <v>2</v>
      </c>
      <c r="I115" s="6">
        <v>3</v>
      </c>
      <c r="J115" s="6">
        <v>4</v>
      </c>
      <c r="K115" s="6">
        <v>5</v>
      </c>
      <c r="L115" s="6">
        <v>6</v>
      </c>
      <c r="M115" s="6">
        <v>7</v>
      </c>
      <c r="N115" s="6">
        <v>8</v>
      </c>
      <c r="O115" s="6">
        <v>9</v>
      </c>
      <c r="P115" s="6">
        <v>10</v>
      </c>
      <c r="Q115" s="6">
        <v>11</v>
      </c>
      <c r="R115" s="6">
        <v>12</v>
      </c>
    </row>
    <row r="116" spans="2:23" ht="37.5" x14ac:dyDescent="0.35">
      <c r="B116" s="81" t="s">
        <v>17</v>
      </c>
      <c r="C116" s="81" t="s">
        <v>10</v>
      </c>
      <c r="D116" s="81" t="s">
        <v>11</v>
      </c>
      <c r="E116" s="81" t="s">
        <v>12</v>
      </c>
      <c r="F116" s="75"/>
      <c r="G116" s="60">
        <v>43313</v>
      </c>
      <c r="H116" s="60">
        <v>43344</v>
      </c>
      <c r="I116" s="60">
        <v>43374</v>
      </c>
      <c r="J116" s="60">
        <v>43405</v>
      </c>
      <c r="K116" s="60">
        <v>43435</v>
      </c>
      <c r="L116" s="60">
        <v>43466</v>
      </c>
      <c r="M116" s="60">
        <v>43497</v>
      </c>
      <c r="N116" s="60">
        <v>43525</v>
      </c>
      <c r="O116" s="60">
        <v>43556</v>
      </c>
      <c r="P116" s="60">
        <v>43586</v>
      </c>
      <c r="Q116" s="60">
        <v>43617</v>
      </c>
      <c r="R116" s="60">
        <v>43647</v>
      </c>
      <c r="S116" s="76" t="s">
        <v>16</v>
      </c>
      <c r="T116" s="20"/>
      <c r="U116" s="81" t="s">
        <v>56</v>
      </c>
      <c r="W116" s="81" t="s">
        <v>16</v>
      </c>
    </row>
    <row r="117" spans="2:23" x14ac:dyDescent="0.35">
      <c r="B117" s="100">
        <v>43466</v>
      </c>
      <c r="C117" s="101">
        <f>L22</f>
        <v>0</v>
      </c>
      <c r="D117" s="102">
        <f>L23</f>
        <v>0</v>
      </c>
      <c r="E117" s="101">
        <f>L25</f>
        <v>0</v>
      </c>
      <c r="F117" s="3" t="s">
        <v>4</v>
      </c>
      <c r="G117" s="21"/>
      <c r="H117" s="21"/>
      <c r="I117" s="21"/>
      <c r="J117" s="21"/>
      <c r="K117" s="21"/>
      <c r="L117" s="2">
        <f t="shared" ref="L117:R117" si="82">IF($C$25&gt;=L115-5,$C$28,0)*$C$117</f>
        <v>0</v>
      </c>
      <c r="M117" s="2">
        <f t="shared" si="82"/>
        <v>0</v>
      </c>
      <c r="N117" s="2">
        <f t="shared" si="82"/>
        <v>0</v>
      </c>
      <c r="O117" s="2">
        <f t="shared" si="82"/>
        <v>0</v>
      </c>
      <c r="P117" s="2">
        <f t="shared" si="82"/>
        <v>0</v>
      </c>
      <c r="Q117" s="2">
        <f t="shared" si="82"/>
        <v>0</v>
      </c>
      <c r="R117" s="2">
        <f t="shared" si="82"/>
        <v>0</v>
      </c>
      <c r="S117" s="2">
        <f>SUM(G117:R117)</f>
        <v>0</v>
      </c>
      <c r="T117" s="20"/>
      <c r="U117" s="2">
        <f t="shared" ref="U117:U122" si="83">W117-S117</f>
        <v>0</v>
      </c>
      <c r="W117" s="2">
        <f>C117*$C$35</f>
        <v>0</v>
      </c>
    </row>
    <row r="118" spans="2:23" x14ac:dyDescent="0.35">
      <c r="B118" s="100"/>
      <c r="C118" s="101"/>
      <c r="D118" s="103"/>
      <c r="E118" s="101"/>
      <c r="F118" s="3" t="s">
        <v>5</v>
      </c>
      <c r="G118" s="21"/>
      <c r="H118" s="21"/>
      <c r="I118" s="21"/>
      <c r="J118" s="21"/>
      <c r="K118" s="21"/>
      <c r="L118" s="2">
        <f t="shared" ref="L118:R118" si="84">IF($C$25+6=L115,$C$36,0)*$C$117</f>
        <v>0</v>
      </c>
      <c r="M118" s="2">
        <f t="shared" si="84"/>
        <v>0</v>
      </c>
      <c r="N118" s="2">
        <f t="shared" si="84"/>
        <v>0</v>
      </c>
      <c r="O118" s="2">
        <f t="shared" si="84"/>
        <v>0</v>
      </c>
      <c r="P118" s="2">
        <f t="shared" si="84"/>
        <v>0</v>
      </c>
      <c r="Q118" s="2">
        <f t="shared" si="84"/>
        <v>0</v>
      </c>
      <c r="R118" s="2">
        <f t="shared" si="84"/>
        <v>0</v>
      </c>
      <c r="S118" s="2">
        <f t="shared" ref="S118:S126" si="85">SUM(G118:R118)</f>
        <v>0</v>
      </c>
      <c r="T118" s="24"/>
      <c r="U118" s="2">
        <f t="shared" si="83"/>
        <v>0</v>
      </c>
      <c r="W118" s="2">
        <f>C117*$C$36</f>
        <v>0</v>
      </c>
    </row>
    <row r="119" spans="2:23" x14ac:dyDescent="0.35">
      <c r="B119" s="100"/>
      <c r="C119" s="101"/>
      <c r="D119" s="103"/>
      <c r="E119" s="101"/>
      <c r="F119" s="3" t="s">
        <v>6</v>
      </c>
      <c r="G119" s="21"/>
      <c r="H119" s="21"/>
      <c r="I119" s="21"/>
      <c r="J119" s="21"/>
      <c r="K119" s="21"/>
      <c r="L119" s="2">
        <f t="shared" ref="L119:R119" si="86">IF($C$25&gt;=L115-5,$C$29,0)*$D$117</f>
        <v>0</v>
      </c>
      <c r="M119" s="2">
        <f t="shared" si="86"/>
        <v>0</v>
      </c>
      <c r="N119" s="2">
        <f t="shared" si="86"/>
        <v>0</v>
      </c>
      <c r="O119" s="2">
        <f t="shared" si="86"/>
        <v>0</v>
      </c>
      <c r="P119" s="2">
        <f t="shared" si="86"/>
        <v>0</v>
      </c>
      <c r="Q119" s="2">
        <f t="shared" si="86"/>
        <v>0</v>
      </c>
      <c r="R119" s="2">
        <f t="shared" si="86"/>
        <v>0</v>
      </c>
      <c r="S119" s="2">
        <f t="shared" si="85"/>
        <v>0</v>
      </c>
      <c r="T119" s="24"/>
      <c r="U119" s="2">
        <f t="shared" si="83"/>
        <v>0</v>
      </c>
      <c r="W119" s="2">
        <f>D117*$C$37</f>
        <v>0</v>
      </c>
    </row>
    <row r="120" spans="2:23" x14ac:dyDescent="0.35">
      <c r="B120" s="100"/>
      <c r="C120" s="101"/>
      <c r="D120" s="103"/>
      <c r="E120" s="101"/>
      <c r="F120" s="3" t="s">
        <v>7</v>
      </c>
      <c r="G120" s="21"/>
      <c r="H120" s="21"/>
      <c r="I120" s="21"/>
      <c r="J120" s="21"/>
      <c r="K120" s="21"/>
      <c r="L120" s="2">
        <f t="shared" ref="L120:R120" si="87">IF($C$25+6=L115,$C$38,0)*$D$117</f>
        <v>0</v>
      </c>
      <c r="M120" s="2">
        <f t="shared" si="87"/>
        <v>0</v>
      </c>
      <c r="N120" s="2">
        <f t="shared" si="87"/>
        <v>0</v>
      </c>
      <c r="O120" s="2">
        <f t="shared" si="87"/>
        <v>0</v>
      </c>
      <c r="P120" s="2">
        <f t="shared" si="87"/>
        <v>0</v>
      </c>
      <c r="Q120" s="2">
        <f t="shared" si="87"/>
        <v>0</v>
      </c>
      <c r="R120" s="2">
        <f t="shared" si="87"/>
        <v>0</v>
      </c>
      <c r="S120" s="2">
        <f t="shared" si="85"/>
        <v>0</v>
      </c>
      <c r="T120" s="24"/>
      <c r="U120" s="2">
        <f t="shared" si="83"/>
        <v>0</v>
      </c>
      <c r="W120" s="2">
        <f>D117*$C$38</f>
        <v>0</v>
      </c>
    </row>
    <row r="121" spans="2:23" x14ac:dyDescent="0.35">
      <c r="B121" s="100"/>
      <c r="C121" s="101"/>
      <c r="D121" s="103"/>
      <c r="E121" s="101"/>
      <c r="F121" s="3" t="s">
        <v>8</v>
      </c>
      <c r="G121" s="21"/>
      <c r="H121" s="21"/>
      <c r="I121" s="21"/>
      <c r="J121" s="21"/>
      <c r="K121" s="21"/>
      <c r="L121" s="2">
        <f t="shared" ref="L121:R121" si="88">IF($C$25&gt;=L115-5,$C$29,0)*$E$117</f>
        <v>0</v>
      </c>
      <c r="M121" s="2">
        <f t="shared" si="88"/>
        <v>0</v>
      </c>
      <c r="N121" s="2">
        <f t="shared" si="88"/>
        <v>0</v>
      </c>
      <c r="O121" s="2">
        <f t="shared" si="88"/>
        <v>0</v>
      </c>
      <c r="P121" s="2">
        <f t="shared" si="88"/>
        <v>0</v>
      </c>
      <c r="Q121" s="2">
        <f t="shared" si="88"/>
        <v>0</v>
      </c>
      <c r="R121" s="2">
        <f t="shared" si="88"/>
        <v>0</v>
      </c>
      <c r="S121" s="2">
        <f t="shared" si="85"/>
        <v>0</v>
      </c>
      <c r="T121" s="24"/>
      <c r="U121" s="2">
        <f t="shared" si="83"/>
        <v>0</v>
      </c>
      <c r="W121" s="2">
        <f>E117*$C$37</f>
        <v>0</v>
      </c>
    </row>
    <row r="122" spans="2:23" x14ac:dyDescent="0.35">
      <c r="B122" s="100"/>
      <c r="C122" s="101"/>
      <c r="D122" s="103"/>
      <c r="E122" s="101"/>
      <c r="F122" s="3" t="s">
        <v>9</v>
      </c>
      <c r="G122" s="21"/>
      <c r="H122" s="21"/>
      <c r="I122" s="21"/>
      <c r="J122" s="21"/>
      <c r="K122" s="21"/>
      <c r="L122" s="2">
        <f t="shared" ref="L122:R122" si="89">IF($C$25+6=L115,$C$38,0)*$E$117</f>
        <v>0</v>
      </c>
      <c r="M122" s="2">
        <f t="shared" si="89"/>
        <v>0</v>
      </c>
      <c r="N122" s="2">
        <f t="shared" si="89"/>
        <v>0</v>
      </c>
      <c r="O122" s="2">
        <f t="shared" si="89"/>
        <v>0</v>
      </c>
      <c r="P122" s="2">
        <f t="shared" si="89"/>
        <v>0</v>
      </c>
      <c r="Q122" s="2">
        <f t="shared" si="89"/>
        <v>0</v>
      </c>
      <c r="R122" s="2">
        <f t="shared" si="89"/>
        <v>0</v>
      </c>
      <c r="S122" s="2">
        <f t="shared" si="85"/>
        <v>0</v>
      </c>
      <c r="T122" s="24"/>
      <c r="U122" s="2">
        <f t="shared" si="83"/>
        <v>0</v>
      </c>
      <c r="W122" s="2">
        <f>E117*$C$38</f>
        <v>0</v>
      </c>
    </row>
    <row r="123" spans="2:23" x14ac:dyDescent="0.35">
      <c r="B123" s="100"/>
      <c r="C123" s="101"/>
      <c r="D123" s="103"/>
      <c r="E123" s="101"/>
      <c r="F123" s="3" t="s">
        <v>14</v>
      </c>
      <c r="G123" s="18"/>
      <c r="H123" s="18"/>
      <c r="I123" s="21"/>
      <c r="J123" s="22"/>
      <c r="K123" s="22"/>
      <c r="L123" s="22"/>
      <c r="M123" s="22"/>
      <c r="N123" s="2">
        <f>(C117+D117)*$C$30/2</f>
        <v>0</v>
      </c>
      <c r="O123" s="18"/>
      <c r="P123" s="18"/>
      <c r="Q123" s="18"/>
      <c r="R123" s="18"/>
      <c r="S123" s="2">
        <f t="shared" si="85"/>
        <v>0</v>
      </c>
      <c r="T123" s="20"/>
      <c r="U123" s="2">
        <f>(C117+D117)*$C$30/2</f>
        <v>0</v>
      </c>
      <c r="W123" s="2">
        <f>(C117+D117)*$C$30</f>
        <v>0</v>
      </c>
    </row>
    <row r="124" spans="2:23" x14ac:dyDescent="0.35">
      <c r="B124" s="100"/>
      <c r="C124" s="101"/>
      <c r="D124" s="103"/>
      <c r="E124" s="101"/>
      <c r="F124" s="3" t="s">
        <v>15</v>
      </c>
      <c r="G124" s="18"/>
      <c r="H124" s="18"/>
      <c r="I124" s="21"/>
      <c r="J124" s="22"/>
      <c r="K124" s="22"/>
      <c r="L124" s="22"/>
      <c r="M124" s="22"/>
      <c r="N124" s="2">
        <f>(C117+D117)*$C$31/2</f>
        <v>0</v>
      </c>
      <c r="O124" s="18"/>
      <c r="P124" s="18"/>
      <c r="Q124" s="18"/>
      <c r="R124" s="18"/>
      <c r="S124" s="2">
        <f t="shared" si="85"/>
        <v>0</v>
      </c>
      <c r="T124" s="20"/>
      <c r="U124" s="2">
        <f>(C117+D117)*$C$31/2</f>
        <v>0</v>
      </c>
      <c r="W124" s="2">
        <f>(C117+D117)*$C$31</f>
        <v>0</v>
      </c>
    </row>
    <row r="125" spans="2:23" x14ac:dyDescent="0.35">
      <c r="B125" s="100"/>
      <c r="C125" s="101"/>
      <c r="D125" s="103"/>
      <c r="E125" s="101"/>
      <c r="F125" s="3" t="s">
        <v>22</v>
      </c>
      <c r="G125" s="21"/>
      <c r="H125" s="21"/>
      <c r="I125" s="21"/>
      <c r="J125" s="21"/>
      <c r="K125" s="21"/>
      <c r="L125" s="2">
        <f t="shared" ref="L125:R125" si="90">IF($C$25&gt;=L115-5,$C$33,0)*($C$117+$D$117)</f>
        <v>0</v>
      </c>
      <c r="M125" s="2">
        <f t="shared" si="90"/>
        <v>0</v>
      </c>
      <c r="N125" s="2">
        <f t="shared" si="90"/>
        <v>0</v>
      </c>
      <c r="O125" s="2">
        <f t="shared" si="90"/>
        <v>0</v>
      </c>
      <c r="P125" s="2">
        <f t="shared" si="90"/>
        <v>0</v>
      </c>
      <c r="Q125" s="2">
        <f t="shared" si="90"/>
        <v>0</v>
      </c>
      <c r="R125" s="2">
        <f t="shared" si="90"/>
        <v>0</v>
      </c>
      <c r="S125" s="2">
        <f t="shared" si="85"/>
        <v>0</v>
      </c>
      <c r="T125" s="20"/>
      <c r="U125" s="19">
        <f>W125-S125</f>
        <v>0</v>
      </c>
      <c r="W125" s="2">
        <f>(C117+D117)*($C$32*0.8)</f>
        <v>0</v>
      </c>
    </row>
    <row r="126" spans="2:23" x14ac:dyDescent="0.35">
      <c r="B126" s="100"/>
      <c r="C126" s="101"/>
      <c r="D126" s="104"/>
      <c r="E126" s="101"/>
      <c r="F126" s="3" t="s">
        <v>23</v>
      </c>
      <c r="G126" s="21"/>
      <c r="H126" s="21"/>
      <c r="I126" s="21"/>
      <c r="J126" s="21"/>
      <c r="K126" s="21"/>
      <c r="L126" s="2">
        <f t="shared" ref="L126:R126" si="91">IF($C$25+1=L115-5,$C$34,0)*($C$117+$D$117)</f>
        <v>0</v>
      </c>
      <c r="M126" s="2">
        <f t="shared" si="91"/>
        <v>0</v>
      </c>
      <c r="N126" s="2">
        <f t="shared" si="91"/>
        <v>0</v>
      </c>
      <c r="O126" s="2">
        <f t="shared" si="91"/>
        <v>0</v>
      </c>
      <c r="P126" s="2">
        <f t="shared" si="91"/>
        <v>0</v>
      </c>
      <c r="Q126" s="2">
        <f t="shared" si="91"/>
        <v>0</v>
      </c>
      <c r="R126" s="2">
        <f t="shared" si="91"/>
        <v>0</v>
      </c>
      <c r="S126" s="2">
        <f t="shared" si="85"/>
        <v>0</v>
      </c>
      <c r="T126" s="20"/>
      <c r="U126" s="2">
        <f>W126-S126</f>
        <v>0</v>
      </c>
      <c r="V126" s="20"/>
      <c r="W126" s="2">
        <f>(C117+D117)*$C$34</f>
        <v>0</v>
      </c>
    </row>
    <row r="128" spans="2:23" x14ac:dyDescent="0.35">
      <c r="F128" s="6" t="s">
        <v>18</v>
      </c>
      <c r="G128" s="6">
        <v>1</v>
      </c>
      <c r="H128" s="6">
        <v>2</v>
      </c>
      <c r="I128" s="6">
        <v>3</v>
      </c>
      <c r="J128" s="6">
        <v>4</v>
      </c>
      <c r="K128" s="6">
        <v>5</v>
      </c>
      <c r="L128" s="6">
        <v>6</v>
      </c>
      <c r="M128" s="6">
        <v>7</v>
      </c>
      <c r="N128" s="6">
        <v>8</v>
      </c>
      <c r="O128" s="6">
        <v>9</v>
      </c>
      <c r="P128" s="6">
        <v>10</v>
      </c>
      <c r="Q128" s="6">
        <v>11</v>
      </c>
      <c r="R128" s="6">
        <v>12</v>
      </c>
    </row>
    <row r="129" spans="2:23" ht="37.5" x14ac:dyDescent="0.35">
      <c r="B129" s="81" t="s">
        <v>17</v>
      </c>
      <c r="C129" s="81" t="s">
        <v>10</v>
      </c>
      <c r="D129" s="81" t="s">
        <v>11</v>
      </c>
      <c r="E129" s="81" t="s">
        <v>12</v>
      </c>
      <c r="F129" s="75"/>
      <c r="G129" s="60">
        <v>43313</v>
      </c>
      <c r="H129" s="60">
        <v>43344</v>
      </c>
      <c r="I129" s="60">
        <v>43374</v>
      </c>
      <c r="J129" s="60">
        <v>43405</v>
      </c>
      <c r="K129" s="60">
        <v>43435</v>
      </c>
      <c r="L129" s="60">
        <v>43466</v>
      </c>
      <c r="M129" s="60">
        <v>43497</v>
      </c>
      <c r="N129" s="60">
        <v>43525</v>
      </c>
      <c r="O129" s="60">
        <v>43556</v>
      </c>
      <c r="P129" s="60">
        <v>43586</v>
      </c>
      <c r="Q129" s="60">
        <v>43617</v>
      </c>
      <c r="R129" s="60">
        <v>43647</v>
      </c>
      <c r="S129" s="76" t="s">
        <v>16</v>
      </c>
      <c r="T129" s="20"/>
      <c r="U129" s="81" t="s">
        <v>56</v>
      </c>
      <c r="W129" s="81" t="s">
        <v>16</v>
      </c>
    </row>
    <row r="130" spans="2:23" x14ac:dyDescent="0.35">
      <c r="B130" s="100">
        <v>43497</v>
      </c>
      <c r="C130" s="101">
        <f>M22</f>
        <v>0</v>
      </c>
      <c r="D130" s="102">
        <f>M23</f>
        <v>0</v>
      </c>
      <c r="E130" s="101">
        <f>M25</f>
        <v>0</v>
      </c>
      <c r="F130" s="3" t="s">
        <v>4</v>
      </c>
      <c r="G130" s="21"/>
      <c r="H130" s="21"/>
      <c r="I130" s="21"/>
      <c r="J130" s="21"/>
      <c r="K130" s="21"/>
      <c r="L130" s="21"/>
      <c r="M130" s="2">
        <f t="shared" ref="M130:R130" si="92">IF($C$25&gt;=M128-6,$C$28,0)*$C$130</f>
        <v>0</v>
      </c>
      <c r="N130" s="2">
        <f t="shared" si="92"/>
        <v>0</v>
      </c>
      <c r="O130" s="2">
        <f t="shared" si="92"/>
        <v>0</v>
      </c>
      <c r="P130" s="2">
        <f t="shared" si="92"/>
        <v>0</v>
      </c>
      <c r="Q130" s="2">
        <f t="shared" si="92"/>
        <v>0</v>
      </c>
      <c r="R130" s="2">
        <f t="shared" si="92"/>
        <v>0</v>
      </c>
      <c r="S130" s="2">
        <f>SUM(G130:R130)</f>
        <v>0</v>
      </c>
      <c r="T130" s="20"/>
      <c r="U130" s="2">
        <f t="shared" ref="U130:U135" si="93">W130-S130</f>
        <v>0</v>
      </c>
      <c r="W130" s="2">
        <f>C130*$C$35</f>
        <v>0</v>
      </c>
    </row>
    <row r="131" spans="2:23" x14ac:dyDescent="0.35">
      <c r="B131" s="100"/>
      <c r="C131" s="101"/>
      <c r="D131" s="103"/>
      <c r="E131" s="101"/>
      <c r="F131" s="3" t="s">
        <v>5</v>
      </c>
      <c r="G131" s="21"/>
      <c r="H131" s="21"/>
      <c r="I131" s="21"/>
      <c r="J131" s="21"/>
      <c r="K131" s="21"/>
      <c r="L131" s="21"/>
      <c r="M131" s="2">
        <f t="shared" ref="M131:R131" si="94">IF($C$25+7=M128,$C$36,0)*$C$130</f>
        <v>0</v>
      </c>
      <c r="N131" s="2">
        <f t="shared" si="94"/>
        <v>0</v>
      </c>
      <c r="O131" s="2">
        <f t="shared" si="94"/>
        <v>0</v>
      </c>
      <c r="P131" s="2">
        <f t="shared" si="94"/>
        <v>0</v>
      </c>
      <c r="Q131" s="2">
        <f t="shared" si="94"/>
        <v>0</v>
      </c>
      <c r="R131" s="2">
        <f t="shared" si="94"/>
        <v>0</v>
      </c>
      <c r="S131" s="2">
        <f t="shared" ref="S131:S139" si="95">SUM(G131:R131)</f>
        <v>0</v>
      </c>
      <c r="T131" s="24"/>
      <c r="U131" s="2">
        <f t="shared" si="93"/>
        <v>0</v>
      </c>
      <c r="W131" s="2">
        <f>C130*$C$36</f>
        <v>0</v>
      </c>
    </row>
    <row r="132" spans="2:23" x14ac:dyDescent="0.35">
      <c r="B132" s="100"/>
      <c r="C132" s="101"/>
      <c r="D132" s="103"/>
      <c r="E132" s="101"/>
      <c r="F132" s="3" t="s">
        <v>6</v>
      </c>
      <c r="G132" s="21"/>
      <c r="H132" s="21"/>
      <c r="I132" s="21"/>
      <c r="J132" s="21"/>
      <c r="K132" s="21"/>
      <c r="L132" s="21"/>
      <c r="M132" s="2">
        <f t="shared" ref="M132:R132" si="96">IF($C$25&gt;=M128-6,$C$29,0)*$D$130</f>
        <v>0</v>
      </c>
      <c r="N132" s="2">
        <f t="shared" si="96"/>
        <v>0</v>
      </c>
      <c r="O132" s="2">
        <f t="shared" si="96"/>
        <v>0</v>
      </c>
      <c r="P132" s="2">
        <f t="shared" si="96"/>
        <v>0</v>
      </c>
      <c r="Q132" s="2">
        <f t="shared" si="96"/>
        <v>0</v>
      </c>
      <c r="R132" s="2">
        <f t="shared" si="96"/>
        <v>0</v>
      </c>
      <c r="S132" s="2">
        <f t="shared" si="95"/>
        <v>0</v>
      </c>
      <c r="T132" s="24"/>
      <c r="U132" s="2">
        <f t="shared" si="93"/>
        <v>0</v>
      </c>
      <c r="W132" s="2">
        <f>D130*$C$37</f>
        <v>0</v>
      </c>
    </row>
    <row r="133" spans="2:23" x14ac:dyDescent="0.35">
      <c r="B133" s="100"/>
      <c r="C133" s="101"/>
      <c r="D133" s="103"/>
      <c r="E133" s="101"/>
      <c r="F133" s="3" t="s">
        <v>7</v>
      </c>
      <c r="G133" s="21"/>
      <c r="H133" s="21"/>
      <c r="I133" s="21"/>
      <c r="J133" s="21"/>
      <c r="K133" s="21"/>
      <c r="L133" s="21"/>
      <c r="M133" s="2">
        <f t="shared" ref="M133:R133" si="97">IF($C$25+7=M128,$C$38,0)*$D$130</f>
        <v>0</v>
      </c>
      <c r="N133" s="2">
        <f t="shared" si="97"/>
        <v>0</v>
      </c>
      <c r="O133" s="2">
        <f t="shared" si="97"/>
        <v>0</v>
      </c>
      <c r="P133" s="2">
        <f t="shared" si="97"/>
        <v>0</v>
      </c>
      <c r="Q133" s="2">
        <f t="shared" si="97"/>
        <v>0</v>
      </c>
      <c r="R133" s="2">
        <f t="shared" si="97"/>
        <v>0</v>
      </c>
      <c r="S133" s="2">
        <f t="shared" si="95"/>
        <v>0</v>
      </c>
      <c r="T133" s="24"/>
      <c r="U133" s="2">
        <f t="shared" si="93"/>
        <v>0</v>
      </c>
      <c r="W133" s="2">
        <f>D130*$C$38</f>
        <v>0</v>
      </c>
    </row>
    <row r="134" spans="2:23" x14ac:dyDescent="0.35">
      <c r="B134" s="100"/>
      <c r="C134" s="101"/>
      <c r="D134" s="103"/>
      <c r="E134" s="101"/>
      <c r="F134" s="3" t="s">
        <v>8</v>
      </c>
      <c r="G134" s="21"/>
      <c r="H134" s="21"/>
      <c r="I134" s="21"/>
      <c r="J134" s="21"/>
      <c r="K134" s="21"/>
      <c r="L134" s="21"/>
      <c r="M134" s="2">
        <f t="shared" ref="M134:R134" si="98">IF($C$25&gt;=M128-6,$C$29,0)*$E$130</f>
        <v>0</v>
      </c>
      <c r="N134" s="2">
        <f t="shared" si="98"/>
        <v>0</v>
      </c>
      <c r="O134" s="2">
        <f t="shared" si="98"/>
        <v>0</v>
      </c>
      <c r="P134" s="2">
        <f t="shared" si="98"/>
        <v>0</v>
      </c>
      <c r="Q134" s="2">
        <f t="shared" si="98"/>
        <v>0</v>
      </c>
      <c r="R134" s="2">
        <f t="shared" si="98"/>
        <v>0</v>
      </c>
      <c r="S134" s="2">
        <f t="shared" si="95"/>
        <v>0</v>
      </c>
      <c r="T134" s="24"/>
      <c r="U134" s="2">
        <f t="shared" si="93"/>
        <v>0</v>
      </c>
      <c r="W134" s="2">
        <f>E130*$C$37</f>
        <v>0</v>
      </c>
    </row>
    <row r="135" spans="2:23" x14ac:dyDescent="0.35">
      <c r="B135" s="100"/>
      <c r="C135" s="101"/>
      <c r="D135" s="103"/>
      <c r="E135" s="101"/>
      <c r="F135" s="3" t="s">
        <v>9</v>
      </c>
      <c r="G135" s="21"/>
      <c r="H135" s="21"/>
      <c r="I135" s="21"/>
      <c r="J135" s="21"/>
      <c r="K135" s="21"/>
      <c r="L135" s="21"/>
      <c r="M135" s="2">
        <f t="shared" ref="M135:R135" si="99">IF($C$25+7=M128,$C$38,0)*$E$130</f>
        <v>0</v>
      </c>
      <c r="N135" s="2">
        <f t="shared" si="99"/>
        <v>0</v>
      </c>
      <c r="O135" s="2">
        <f t="shared" si="99"/>
        <v>0</v>
      </c>
      <c r="P135" s="2">
        <f t="shared" si="99"/>
        <v>0</v>
      </c>
      <c r="Q135" s="2">
        <f t="shared" si="99"/>
        <v>0</v>
      </c>
      <c r="R135" s="2">
        <f t="shared" si="99"/>
        <v>0</v>
      </c>
      <c r="S135" s="2">
        <f t="shared" si="95"/>
        <v>0</v>
      </c>
      <c r="T135" s="24"/>
      <c r="U135" s="2">
        <f t="shared" si="93"/>
        <v>0</v>
      </c>
      <c r="W135" s="2">
        <f>E130*$C$38</f>
        <v>0</v>
      </c>
    </row>
    <row r="136" spans="2:23" x14ac:dyDescent="0.35">
      <c r="B136" s="100"/>
      <c r="C136" s="101"/>
      <c r="D136" s="103"/>
      <c r="E136" s="101"/>
      <c r="F136" s="3" t="s">
        <v>14</v>
      </c>
      <c r="G136" s="18"/>
      <c r="H136" s="18"/>
      <c r="I136" s="21"/>
      <c r="J136" s="22"/>
      <c r="K136" s="22"/>
      <c r="L136" s="22"/>
      <c r="M136" s="22"/>
      <c r="N136" s="22"/>
      <c r="O136" s="2">
        <f>(C130+D130)*$C$30/2</f>
        <v>0</v>
      </c>
      <c r="P136" s="18"/>
      <c r="Q136" s="18"/>
      <c r="R136" s="18"/>
      <c r="S136" s="2">
        <f t="shared" si="95"/>
        <v>0</v>
      </c>
      <c r="T136" s="20"/>
      <c r="U136" s="2">
        <f>(C130+D130)*$C$30/2</f>
        <v>0</v>
      </c>
      <c r="W136" s="2">
        <f>(C130+D130)*$C$30</f>
        <v>0</v>
      </c>
    </row>
    <row r="137" spans="2:23" x14ac:dyDescent="0.35">
      <c r="B137" s="100"/>
      <c r="C137" s="101"/>
      <c r="D137" s="103"/>
      <c r="E137" s="101"/>
      <c r="F137" s="3" t="s">
        <v>15</v>
      </c>
      <c r="G137" s="18"/>
      <c r="H137" s="18"/>
      <c r="I137" s="21"/>
      <c r="J137" s="22"/>
      <c r="K137" s="22"/>
      <c r="L137" s="22"/>
      <c r="M137" s="22"/>
      <c r="N137" s="22"/>
      <c r="O137" s="2">
        <f>(C130+D130)*$C$31/2</f>
        <v>0</v>
      </c>
      <c r="P137" s="18"/>
      <c r="Q137" s="18"/>
      <c r="R137" s="18"/>
      <c r="S137" s="2">
        <f t="shared" si="95"/>
        <v>0</v>
      </c>
      <c r="T137" s="20"/>
      <c r="U137" s="2">
        <f>(C130+D130)*$C$31/2</f>
        <v>0</v>
      </c>
      <c r="W137" s="2">
        <f>(C130+D130)*$C$31</f>
        <v>0</v>
      </c>
    </row>
    <row r="138" spans="2:23" x14ac:dyDescent="0.35">
      <c r="B138" s="100"/>
      <c r="C138" s="101"/>
      <c r="D138" s="103"/>
      <c r="E138" s="101"/>
      <c r="F138" s="3" t="s">
        <v>22</v>
      </c>
      <c r="G138" s="21"/>
      <c r="H138" s="21"/>
      <c r="I138" s="21"/>
      <c r="J138" s="21"/>
      <c r="K138" s="21"/>
      <c r="L138" s="21"/>
      <c r="M138" s="2">
        <f t="shared" ref="M138:R138" si="100">IF($C$25&gt;=M128-6,$C$33,0)*($C$130+$D$130)</f>
        <v>0</v>
      </c>
      <c r="N138" s="2">
        <f t="shared" si="100"/>
        <v>0</v>
      </c>
      <c r="O138" s="2">
        <f t="shared" si="100"/>
        <v>0</v>
      </c>
      <c r="P138" s="2">
        <f t="shared" si="100"/>
        <v>0</v>
      </c>
      <c r="Q138" s="2">
        <f t="shared" si="100"/>
        <v>0</v>
      </c>
      <c r="R138" s="2">
        <f t="shared" si="100"/>
        <v>0</v>
      </c>
      <c r="S138" s="2">
        <f t="shared" si="95"/>
        <v>0</v>
      </c>
      <c r="T138" s="20"/>
      <c r="U138" s="19">
        <f>W138-S138</f>
        <v>0</v>
      </c>
      <c r="W138" s="2">
        <f>(C130+D130)*($C$32*0.8)</f>
        <v>0</v>
      </c>
    </row>
    <row r="139" spans="2:23" x14ac:dyDescent="0.35">
      <c r="B139" s="100"/>
      <c r="C139" s="101"/>
      <c r="D139" s="104"/>
      <c r="E139" s="101"/>
      <c r="F139" s="3" t="s">
        <v>23</v>
      </c>
      <c r="G139" s="21"/>
      <c r="H139" s="21"/>
      <c r="I139" s="21"/>
      <c r="J139" s="21"/>
      <c r="K139" s="21"/>
      <c r="L139" s="21"/>
      <c r="M139" s="2">
        <f t="shared" ref="M139:R139" si="101">IF($C$25+1=M128-6,$C$34,0)*($C$130+$D$130)</f>
        <v>0</v>
      </c>
      <c r="N139" s="2">
        <f t="shared" si="101"/>
        <v>0</v>
      </c>
      <c r="O139" s="2">
        <f t="shared" si="101"/>
        <v>0</v>
      </c>
      <c r="P139" s="2">
        <f t="shared" si="101"/>
        <v>0</v>
      </c>
      <c r="Q139" s="2">
        <f t="shared" si="101"/>
        <v>0</v>
      </c>
      <c r="R139" s="2">
        <f t="shared" si="101"/>
        <v>0</v>
      </c>
      <c r="S139" s="2">
        <f t="shared" si="95"/>
        <v>0</v>
      </c>
      <c r="T139" s="20"/>
      <c r="U139" s="2">
        <f>W139-S139</f>
        <v>0</v>
      </c>
      <c r="V139" s="20"/>
      <c r="W139" s="2">
        <f>(C130+D130)*$C$34</f>
        <v>0</v>
      </c>
    </row>
    <row r="141" spans="2:23" x14ac:dyDescent="0.35">
      <c r="F141" s="6" t="s">
        <v>18</v>
      </c>
      <c r="G141" s="6">
        <v>1</v>
      </c>
      <c r="H141" s="6">
        <v>2</v>
      </c>
      <c r="I141" s="6">
        <v>3</v>
      </c>
      <c r="J141" s="6">
        <v>4</v>
      </c>
      <c r="K141" s="6">
        <v>5</v>
      </c>
      <c r="L141" s="6">
        <v>6</v>
      </c>
      <c r="M141" s="6">
        <v>7</v>
      </c>
      <c r="N141" s="6">
        <v>8</v>
      </c>
      <c r="O141" s="6">
        <v>9</v>
      </c>
      <c r="P141" s="6">
        <v>10</v>
      </c>
      <c r="Q141" s="6">
        <v>11</v>
      </c>
      <c r="R141" s="6">
        <v>12</v>
      </c>
    </row>
    <row r="142" spans="2:23" ht="37.5" x14ac:dyDescent="0.35">
      <c r="B142" s="81" t="s">
        <v>17</v>
      </c>
      <c r="C142" s="81" t="s">
        <v>10</v>
      </c>
      <c r="D142" s="81" t="s">
        <v>11</v>
      </c>
      <c r="E142" s="81" t="s">
        <v>12</v>
      </c>
      <c r="F142" s="75"/>
      <c r="G142" s="60">
        <v>43313</v>
      </c>
      <c r="H142" s="60">
        <v>43344</v>
      </c>
      <c r="I142" s="60">
        <v>43374</v>
      </c>
      <c r="J142" s="60">
        <v>43405</v>
      </c>
      <c r="K142" s="60">
        <v>43435</v>
      </c>
      <c r="L142" s="60">
        <v>43466</v>
      </c>
      <c r="M142" s="60">
        <v>43497</v>
      </c>
      <c r="N142" s="60">
        <v>43525</v>
      </c>
      <c r="O142" s="60">
        <v>43556</v>
      </c>
      <c r="P142" s="60">
        <v>43586</v>
      </c>
      <c r="Q142" s="60">
        <v>43617</v>
      </c>
      <c r="R142" s="60">
        <v>43647</v>
      </c>
      <c r="S142" s="76" t="s">
        <v>16</v>
      </c>
      <c r="T142" s="20"/>
      <c r="U142" s="81" t="s">
        <v>56</v>
      </c>
      <c r="W142" s="81" t="s">
        <v>16</v>
      </c>
    </row>
    <row r="143" spans="2:23" x14ac:dyDescent="0.35">
      <c r="B143" s="100">
        <v>43525</v>
      </c>
      <c r="C143" s="101">
        <f>N22</f>
        <v>0</v>
      </c>
      <c r="D143" s="102">
        <f>N23</f>
        <v>0</v>
      </c>
      <c r="E143" s="101">
        <f>N25</f>
        <v>0</v>
      </c>
      <c r="F143" s="3" t="s">
        <v>4</v>
      </c>
      <c r="G143" s="21"/>
      <c r="H143" s="21"/>
      <c r="I143" s="21"/>
      <c r="J143" s="21"/>
      <c r="K143" s="21"/>
      <c r="L143" s="21"/>
      <c r="M143" s="21"/>
      <c r="N143" s="2">
        <f>IF($C$25&gt;=N141-7,$C$28,0)*$C$143</f>
        <v>0</v>
      </c>
      <c r="O143" s="2">
        <f>IF($C$25&gt;=O141-7,$C$28,0)*$C$143</f>
        <v>0</v>
      </c>
      <c r="P143" s="2">
        <f>IF($C$25&gt;=P141-7,$C$28,0)*$C$143</f>
        <v>0</v>
      </c>
      <c r="Q143" s="2">
        <f>IF($C$25&gt;=Q141-7,$C$28,0)*$C$143</f>
        <v>0</v>
      </c>
      <c r="R143" s="2">
        <f>IF($C$25&gt;=R141-7,$C$28,0)*$C$143</f>
        <v>0</v>
      </c>
      <c r="S143" s="2">
        <f>SUM(G143:R143)</f>
        <v>0</v>
      </c>
      <c r="T143" s="20"/>
      <c r="U143" s="2">
        <f t="shared" ref="U143:U148" si="102">W143-S143</f>
        <v>0</v>
      </c>
      <c r="W143" s="2">
        <f>C143*$C$35</f>
        <v>0</v>
      </c>
    </row>
    <row r="144" spans="2:23" x14ac:dyDescent="0.35">
      <c r="B144" s="100"/>
      <c r="C144" s="101"/>
      <c r="D144" s="103"/>
      <c r="E144" s="101"/>
      <c r="F144" s="3" t="s">
        <v>5</v>
      </c>
      <c r="G144" s="21"/>
      <c r="H144" s="21"/>
      <c r="I144" s="21"/>
      <c r="J144" s="21"/>
      <c r="K144" s="21"/>
      <c r="L144" s="21"/>
      <c r="M144" s="21"/>
      <c r="N144" s="2">
        <f>IF($C$25+8=N141,$C$36,0)*$C$143</f>
        <v>0</v>
      </c>
      <c r="O144" s="2">
        <f>IF($C$25+8=O141,$C$36,0)*$C$143</f>
        <v>0</v>
      </c>
      <c r="P144" s="2">
        <f>IF($C$25+8=P141,$C$36,0)*$C$143</f>
        <v>0</v>
      </c>
      <c r="Q144" s="2">
        <f>IF($C$25+8=Q141,$C$36,0)*$C$143</f>
        <v>0</v>
      </c>
      <c r="R144" s="2">
        <f>IF($C$25+8=R141,$C$36,0)*$C$143</f>
        <v>0</v>
      </c>
      <c r="S144" s="2">
        <f t="shared" ref="S144:S152" si="103">SUM(G144:R144)</f>
        <v>0</v>
      </c>
      <c r="T144" s="24"/>
      <c r="U144" s="2">
        <f t="shared" si="102"/>
        <v>0</v>
      </c>
      <c r="W144" s="2">
        <f>C143*$C$36</f>
        <v>0</v>
      </c>
    </row>
    <row r="145" spans="2:23" x14ac:dyDescent="0.35">
      <c r="B145" s="100"/>
      <c r="C145" s="101"/>
      <c r="D145" s="103"/>
      <c r="E145" s="101"/>
      <c r="F145" s="3" t="s">
        <v>6</v>
      </c>
      <c r="G145" s="21"/>
      <c r="H145" s="21"/>
      <c r="I145" s="21"/>
      <c r="J145" s="21"/>
      <c r="K145" s="21"/>
      <c r="L145" s="21"/>
      <c r="M145" s="21"/>
      <c r="N145" s="2">
        <f>IF($C$25&gt;=N141-7,$C$29,0)*$D$143</f>
        <v>0</v>
      </c>
      <c r="O145" s="2">
        <f>IF($C$25&gt;=O141-7,$C$29,0)*$D$143</f>
        <v>0</v>
      </c>
      <c r="P145" s="2">
        <f>IF($C$25&gt;=P141-7,$C$29,0)*$D$143</f>
        <v>0</v>
      </c>
      <c r="Q145" s="2">
        <f>IF($C$25&gt;=Q141-7,$C$29,0)*$D$143</f>
        <v>0</v>
      </c>
      <c r="R145" s="2">
        <f>IF($C$25&gt;=R141-7,$C$29,0)*$D$143</f>
        <v>0</v>
      </c>
      <c r="S145" s="2">
        <f t="shared" si="103"/>
        <v>0</v>
      </c>
      <c r="T145" s="24"/>
      <c r="U145" s="2">
        <f t="shared" si="102"/>
        <v>0</v>
      </c>
      <c r="W145" s="2">
        <f>D143*$C$37</f>
        <v>0</v>
      </c>
    </row>
    <row r="146" spans="2:23" x14ac:dyDescent="0.35">
      <c r="B146" s="100"/>
      <c r="C146" s="101"/>
      <c r="D146" s="103"/>
      <c r="E146" s="101"/>
      <c r="F146" s="3" t="s">
        <v>7</v>
      </c>
      <c r="G146" s="21"/>
      <c r="H146" s="21"/>
      <c r="I146" s="21"/>
      <c r="J146" s="21"/>
      <c r="K146" s="21"/>
      <c r="L146" s="21"/>
      <c r="M146" s="21"/>
      <c r="N146" s="2">
        <f>IF($C$25+8=N141,$C$38,0)*$D$143</f>
        <v>0</v>
      </c>
      <c r="O146" s="2">
        <f>IF($C$25+8=O141,$C$38,0)*$D$143</f>
        <v>0</v>
      </c>
      <c r="P146" s="2">
        <f>IF($C$25+8=P141,$C$38,0)*$D$143</f>
        <v>0</v>
      </c>
      <c r="Q146" s="2">
        <f>IF($C$25+8=Q141,$C$38,0)*$D$143</f>
        <v>0</v>
      </c>
      <c r="R146" s="2">
        <f>IF($C$25+8=R141,$C$38,0)*$D$143</f>
        <v>0</v>
      </c>
      <c r="S146" s="2">
        <f t="shared" si="103"/>
        <v>0</v>
      </c>
      <c r="T146" s="24"/>
      <c r="U146" s="2">
        <f t="shared" si="102"/>
        <v>0</v>
      </c>
      <c r="W146" s="2">
        <f>D143*$C$38</f>
        <v>0</v>
      </c>
    </row>
    <row r="147" spans="2:23" x14ac:dyDescent="0.35">
      <c r="B147" s="100"/>
      <c r="C147" s="101"/>
      <c r="D147" s="103"/>
      <c r="E147" s="101"/>
      <c r="F147" s="3" t="s">
        <v>8</v>
      </c>
      <c r="G147" s="21"/>
      <c r="H147" s="21"/>
      <c r="I147" s="21"/>
      <c r="J147" s="21"/>
      <c r="K147" s="21"/>
      <c r="L147" s="21"/>
      <c r="M147" s="21"/>
      <c r="N147" s="2">
        <f>IF($C$25&gt;=N141-7,$C$29,0)*$E$143</f>
        <v>0</v>
      </c>
      <c r="O147" s="2">
        <f>IF($C$25&gt;=O141-7,$C$29,0)*$E$143</f>
        <v>0</v>
      </c>
      <c r="P147" s="2">
        <f>IF($C$25&gt;=P141-7,$C$29,0)*$E$143</f>
        <v>0</v>
      </c>
      <c r="Q147" s="2">
        <f>IF($C$25&gt;=Q141-7,$C$29,0)*$E$143</f>
        <v>0</v>
      </c>
      <c r="R147" s="2">
        <f>IF($C$25&gt;=R141-7,$C$29,0)*$E$143</f>
        <v>0</v>
      </c>
      <c r="S147" s="2">
        <f>SUM(G147:R147)</f>
        <v>0</v>
      </c>
      <c r="T147" s="24"/>
      <c r="U147" s="2">
        <f t="shared" si="102"/>
        <v>0</v>
      </c>
      <c r="W147" s="2">
        <f>E143*$C$37</f>
        <v>0</v>
      </c>
    </row>
    <row r="148" spans="2:23" x14ac:dyDescent="0.35">
      <c r="B148" s="100"/>
      <c r="C148" s="101"/>
      <c r="D148" s="103"/>
      <c r="E148" s="101"/>
      <c r="F148" s="3" t="s">
        <v>9</v>
      </c>
      <c r="G148" s="21"/>
      <c r="H148" s="21"/>
      <c r="I148" s="21"/>
      <c r="J148" s="21"/>
      <c r="K148" s="21"/>
      <c r="L148" s="21"/>
      <c r="M148" s="21"/>
      <c r="N148" s="2">
        <f>IF($C$25+8=N141,$C$38,0)*$E$143</f>
        <v>0</v>
      </c>
      <c r="O148" s="2">
        <f>IF($C$25+8=O141,$C$38,0)*$E$143</f>
        <v>0</v>
      </c>
      <c r="P148" s="2">
        <f>IF($C$25+8=P141,$C$38,0)*$E$143</f>
        <v>0</v>
      </c>
      <c r="Q148" s="2">
        <f>IF($C$25+8=Q141,$C$38,0)*$E$143</f>
        <v>0</v>
      </c>
      <c r="R148" s="2">
        <f>IF($C$25+8=R141,$C$38,0)*$E$143</f>
        <v>0</v>
      </c>
      <c r="S148" s="2">
        <f t="shared" si="103"/>
        <v>0</v>
      </c>
      <c r="T148" s="24"/>
      <c r="U148" s="2">
        <f t="shared" si="102"/>
        <v>0</v>
      </c>
      <c r="W148" s="2">
        <f>E143*$C$38</f>
        <v>0</v>
      </c>
    </row>
    <row r="149" spans="2:23" x14ac:dyDescent="0.35">
      <c r="B149" s="100"/>
      <c r="C149" s="101"/>
      <c r="D149" s="103"/>
      <c r="E149" s="101"/>
      <c r="F149" s="3" t="s">
        <v>14</v>
      </c>
      <c r="G149" s="18"/>
      <c r="H149" s="18"/>
      <c r="I149" s="21"/>
      <c r="J149" s="22"/>
      <c r="K149" s="22"/>
      <c r="L149" s="22"/>
      <c r="M149" s="22"/>
      <c r="N149" s="22"/>
      <c r="O149" s="22"/>
      <c r="P149" s="2">
        <f>(C143+D143)*$C$30/2</f>
        <v>0</v>
      </c>
      <c r="Q149" s="18"/>
      <c r="R149" s="18"/>
      <c r="S149" s="2">
        <f t="shared" si="103"/>
        <v>0</v>
      </c>
      <c r="T149" s="20"/>
      <c r="U149" s="2">
        <f>(C143+D143)*$C$30/2</f>
        <v>0</v>
      </c>
      <c r="W149" s="2">
        <f>(C143+D143)*$C$30</f>
        <v>0</v>
      </c>
    </row>
    <row r="150" spans="2:23" x14ac:dyDescent="0.35">
      <c r="B150" s="100"/>
      <c r="C150" s="101"/>
      <c r="D150" s="103"/>
      <c r="E150" s="101"/>
      <c r="F150" s="3" t="s">
        <v>15</v>
      </c>
      <c r="G150" s="18"/>
      <c r="H150" s="18"/>
      <c r="I150" s="21"/>
      <c r="J150" s="22"/>
      <c r="K150" s="22"/>
      <c r="L150" s="22"/>
      <c r="M150" s="22"/>
      <c r="N150" s="22"/>
      <c r="O150" s="22"/>
      <c r="P150" s="2">
        <f>(C143+D143)*$C$31/2</f>
        <v>0</v>
      </c>
      <c r="Q150" s="18"/>
      <c r="R150" s="18"/>
      <c r="S150" s="2">
        <f t="shared" si="103"/>
        <v>0</v>
      </c>
      <c r="T150" s="20"/>
      <c r="U150" s="2">
        <f>(C143+D143)*$C$31/2</f>
        <v>0</v>
      </c>
      <c r="W150" s="2">
        <f>(C143+D143)*$C$31</f>
        <v>0</v>
      </c>
    </row>
    <row r="151" spans="2:23" x14ac:dyDescent="0.35">
      <c r="B151" s="100"/>
      <c r="C151" s="101"/>
      <c r="D151" s="103"/>
      <c r="E151" s="101"/>
      <c r="F151" s="3" t="s">
        <v>22</v>
      </c>
      <c r="G151" s="21"/>
      <c r="H151" s="21"/>
      <c r="I151" s="21"/>
      <c r="J151" s="21"/>
      <c r="K151" s="21"/>
      <c r="L151" s="21"/>
      <c r="M151" s="21"/>
      <c r="N151" s="2">
        <f>IF($C$25&gt;=N141-7,$C$33,0)*($C$143+$D$143)</f>
        <v>0</v>
      </c>
      <c r="O151" s="2">
        <f>IF($C$25&gt;=O141-7,$C$33,0)*($C$143+$D$143)</f>
        <v>0</v>
      </c>
      <c r="P151" s="2">
        <f>IF($C$25&gt;=P141-7,$C$33,0)*($C$143+$D$143)</f>
        <v>0</v>
      </c>
      <c r="Q151" s="2">
        <f>IF($C$25&gt;=Q141-7,$C$33,0)*($C$143+$D$143)</f>
        <v>0</v>
      </c>
      <c r="R151" s="2">
        <f>IF($C$25&gt;=R141-7,$C$33,0)*($C$143+$D$143)</f>
        <v>0</v>
      </c>
      <c r="S151" s="2">
        <f t="shared" si="103"/>
        <v>0</v>
      </c>
      <c r="T151" s="20"/>
      <c r="U151" s="19">
        <f>W151-S151</f>
        <v>0</v>
      </c>
      <c r="W151" s="2">
        <f>(C143+D143)*($C$32*0.8)</f>
        <v>0</v>
      </c>
    </row>
    <row r="152" spans="2:23" x14ac:dyDescent="0.35">
      <c r="B152" s="100"/>
      <c r="C152" s="101"/>
      <c r="D152" s="104"/>
      <c r="E152" s="101"/>
      <c r="F152" s="3" t="s">
        <v>23</v>
      </c>
      <c r="G152" s="21"/>
      <c r="H152" s="21"/>
      <c r="I152" s="21"/>
      <c r="J152" s="21"/>
      <c r="K152" s="21"/>
      <c r="L152" s="21"/>
      <c r="M152" s="21"/>
      <c r="N152" s="2">
        <f>IF($C$25+1=N141-7,$C$34,0)*($C$143+$D$143)</f>
        <v>0</v>
      </c>
      <c r="O152" s="2">
        <f>IF($C$25+1=O141-7,$C$34,0)*($C$143+$D$143)</f>
        <v>0</v>
      </c>
      <c r="P152" s="2">
        <f>IF($C$25+1=P141-7,$C$34,0)*($C$143+$D$143)</f>
        <v>0</v>
      </c>
      <c r="Q152" s="2">
        <f>IF($C$25+1=Q141-7,$C$34,0)*($C$143+$D$143)</f>
        <v>0</v>
      </c>
      <c r="R152" s="2">
        <f>IF($C$25+1=R141-7,$C$34,0)*($C$143+$D$143)</f>
        <v>0</v>
      </c>
      <c r="S152" s="2">
        <f t="shared" si="103"/>
        <v>0</v>
      </c>
      <c r="T152" s="20"/>
      <c r="U152" s="2">
        <f>W152-S152</f>
        <v>0</v>
      </c>
      <c r="V152" s="20"/>
      <c r="W152" s="2">
        <f>(C143+D143)*$C$34</f>
        <v>0</v>
      </c>
    </row>
    <row r="154" spans="2:23" x14ac:dyDescent="0.35">
      <c r="F154" s="6" t="s">
        <v>18</v>
      </c>
      <c r="G154" s="6">
        <v>1</v>
      </c>
      <c r="H154" s="6">
        <v>2</v>
      </c>
      <c r="I154" s="6">
        <v>3</v>
      </c>
      <c r="J154" s="6">
        <v>4</v>
      </c>
      <c r="K154" s="6">
        <v>5</v>
      </c>
      <c r="L154" s="6">
        <v>6</v>
      </c>
      <c r="M154" s="6">
        <v>7</v>
      </c>
      <c r="N154" s="6">
        <v>8</v>
      </c>
      <c r="O154" s="6">
        <v>9</v>
      </c>
      <c r="P154" s="6">
        <v>10</v>
      </c>
      <c r="Q154" s="6">
        <v>11</v>
      </c>
      <c r="R154" s="6">
        <v>12</v>
      </c>
    </row>
    <row r="155" spans="2:23" ht="37.5" x14ac:dyDescent="0.35">
      <c r="B155" s="81" t="s">
        <v>17</v>
      </c>
      <c r="C155" s="81" t="s">
        <v>10</v>
      </c>
      <c r="D155" s="81" t="s">
        <v>11</v>
      </c>
      <c r="E155" s="81" t="s">
        <v>12</v>
      </c>
      <c r="F155" s="75"/>
      <c r="G155" s="60">
        <v>43313</v>
      </c>
      <c r="H155" s="60">
        <v>43344</v>
      </c>
      <c r="I155" s="60">
        <v>43374</v>
      </c>
      <c r="J155" s="60">
        <v>43405</v>
      </c>
      <c r="K155" s="60">
        <v>43435</v>
      </c>
      <c r="L155" s="60">
        <v>43466</v>
      </c>
      <c r="M155" s="60">
        <v>43497</v>
      </c>
      <c r="N155" s="60">
        <v>43525</v>
      </c>
      <c r="O155" s="60">
        <v>43556</v>
      </c>
      <c r="P155" s="60">
        <v>43586</v>
      </c>
      <c r="Q155" s="60">
        <v>43617</v>
      </c>
      <c r="R155" s="60">
        <v>43647</v>
      </c>
      <c r="S155" s="76" t="s">
        <v>16</v>
      </c>
      <c r="T155" s="20"/>
      <c r="U155" s="81" t="s">
        <v>56</v>
      </c>
      <c r="W155" s="81" t="s">
        <v>16</v>
      </c>
    </row>
    <row r="156" spans="2:23" x14ac:dyDescent="0.35">
      <c r="B156" s="100">
        <v>43556</v>
      </c>
      <c r="C156" s="101">
        <f>O22</f>
        <v>0</v>
      </c>
      <c r="D156" s="102">
        <f>O23</f>
        <v>0</v>
      </c>
      <c r="E156" s="101">
        <f>O25</f>
        <v>0</v>
      </c>
      <c r="F156" s="3" t="s">
        <v>4</v>
      </c>
      <c r="G156" s="21"/>
      <c r="H156" s="21"/>
      <c r="I156" s="21"/>
      <c r="J156" s="21"/>
      <c r="K156" s="21"/>
      <c r="L156" s="21"/>
      <c r="M156" s="21"/>
      <c r="N156" s="21"/>
      <c r="O156" s="2">
        <f>IF($C$25&gt;=O154-8,$C$28,0)*$C$156</f>
        <v>0</v>
      </c>
      <c r="P156" s="2">
        <f>IF($C$25&gt;=P154-8,$C$28,0)*$C$156</f>
        <v>0</v>
      </c>
      <c r="Q156" s="2">
        <f>IF($C$25&gt;=Q154-8,$C$28,0)*$C$156</f>
        <v>0</v>
      </c>
      <c r="R156" s="2">
        <f>IF($C$25&gt;=R154-8,$C$28,0)*$C$156</f>
        <v>0</v>
      </c>
      <c r="S156" s="2">
        <f>SUM(G156:R156)</f>
        <v>0</v>
      </c>
      <c r="T156" s="20"/>
      <c r="U156" s="2">
        <f t="shared" ref="U156:U161" si="104">W156-S156</f>
        <v>0</v>
      </c>
      <c r="W156" s="2">
        <f>C156*$C$35</f>
        <v>0</v>
      </c>
    </row>
    <row r="157" spans="2:23" x14ac:dyDescent="0.35">
      <c r="B157" s="100"/>
      <c r="C157" s="101"/>
      <c r="D157" s="103"/>
      <c r="E157" s="101"/>
      <c r="F157" s="3" t="s">
        <v>5</v>
      </c>
      <c r="G157" s="21"/>
      <c r="H157" s="21"/>
      <c r="I157" s="21"/>
      <c r="J157" s="21"/>
      <c r="K157" s="21"/>
      <c r="L157" s="21"/>
      <c r="M157" s="21"/>
      <c r="N157" s="21"/>
      <c r="O157" s="2">
        <f>IF($C$25+9=O154,$C$36,0)*$C$156</f>
        <v>0</v>
      </c>
      <c r="P157" s="2">
        <f>IF($C$25+9=P154,$C$36,0)*$C$156</f>
        <v>0</v>
      </c>
      <c r="Q157" s="2">
        <f>IF($C$25+9=Q154,$C$36,0)*$C$156</f>
        <v>0</v>
      </c>
      <c r="R157" s="2">
        <f>IF($C$25+9=R154,$C$36,0)*$C$156</f>
        <v>0</v>
      </c>
      <c r="S157" s="2">
        <f t="shared" ref="S157:S165" si="105">SUM(G157:R157)</f>
        <v>0</v>
      </c>
      <c r="T157" s="24"/>
      <c r="U157" s="2">
        <f t="shared" si="104"/>
        <v>0</v>
      </c>
      <c r="W157" s="2">
        <f>C156*$C$36</f>
        <v>0</v>
      </c>
    </row>
    <row r="158" spans="2:23" x14ac:dyDescent="0.35">
      <c r="B158" s="100"/>
      <c r="C158" s="101"/>
      <c r="D158" s="103"/>
      <c r="E158" s="101"/>
      <c r="F158" s="3" t="s">
        <v>6</v>
      </c>
      <c r="G158" s="21"/>
      <c r="H158" s="21"/>
      <c r="I158" s="21"/>
      <c r="J158" s="21"/>
      <c r="K158" s="21"/>
      <c r="L158" s="21"/>
      <c r="M158" s="21"/>
      <c r="N158" s="21"/>
      <c r="O158" s="2">
        <f>IF($C$25&gt;=O154-8,$C$29,0)*$D$156</f>
        <v>0</v>
      </c>
      <c r="P158" s="2">
        <f>IF($C$25&gt;=P154-8,$C$29,0)*$D$156</f>
        <v>0</v>
      </c>
      <c r="Q158" s="2">
        <f>IF($C$25&gt;=Q154-8,$C$29,0)*$D$156</f>
        <v>0</v>
      </c>
      <c r="R158" s="2">
        <f>IF($C$25&gt;=R154-8,$C$29,0)*$D$156</f>
        <v>0</v>
      </c>
      <c r="S158" s="2">
        <f t="shared" si="105"/>
        <v>0</v>
      </c>
      <c r="T158" s="24"/>
      <c r="U158" s="2">
        <f t="shared" si="104"/>
        <v>0</v>
      </c>
      <c r="W158" s="2">
        <f>D156*$C$37</f>
        <v>0</v>
      </c>
    </row>
    <row r="159" spans="2:23" x14ac:dyDescent="0.35">
      <c r="B159" s="100"/>
      <c r="C159" s="101"/>
      <c r="D159" s="103"/>
      <c r="E159" s="101"/>
      <c r="F159" s="3" t="s">
        <v>7</v>
      </c>
      <c r="G159" s="21"/>
      <c r="H159" s="21"/>
      <c r="I159" s="21"/>
      <c r="J159" s="21"/>
      <c r="K159" s="21"/>
      <c r="L159" s="21"/>
      <c r="M159" s="21"/>
      <c r="N159" s="21"/>
      <c r="O159" s="2">
        <f>IF($C$25+9=O154,$C$38,0)*$D$156</f>
        <v>0</v>
      </c>
      <c r="P159" s="2">
        <f>IF($C$25+9=P154,$C$38,0)*$D$156</f>
        <v>0</v>
      </c>
      <c r="Q159" s="2">
        <f>IF($C$25+9=Q154,$C$38,0)*$D$156</f>
        <v>0</v>
      </c>
      <c r="R159" s="2">
        <f>IF($C$25+9=R154,$C$38,0)*$D$156</f>
        <v>0</v>
      </c>
      <c r="S159" s="2">
        <f t="shared" si="105"/>
        <v>0</v>
      </c>
      <c r="T159" s="24"/>
      <c r="U159" s="2">
        <f t="shared" si="104"/>
        <v>0</v>
      </c>
      <c r="W159" s="2">
        <f>D156*$C$38</f>
        <v>0</v>
      </c>
    </row>
    <row r="160" spans="2:23" x14ac:dyDescent="0.35">
      <c r="B160" s="100"/>
      <c r="C160" s="101"/>
      <c r="D160" s="103"/>
      <c r="E160" s="101"/>
      <c r="F160" s="3" t="s">
        <v>8</v>
      </c>
      <c r="G160" s="21"/>
      <c r="H160" s="21"/>
      <c r="I160" s="21"/>
      <c r="J160" s="21"/>
      <c r="K160" s="21"/>
      <c r="L160" s="21"/>
      <c r="M160" s="21"/>
      <c r="N160" s="21"/>
      <c r="O160" s="2">
        <f>IF($C$25&gt;=O154-8,$C$29,0)*$E$156</f>
        <v>0</v>
      </c>
      <c r="P160" s="2">
        <f>IF($C$25&gt;=P154-8,$C$29,0)*$E$156</f>
        <v>0</v>
      </c>
      <c r="Q160" s="2">
        <f>IF($C$25&gt;=Q154-8,$C$29,0)*$E$156</f>
        <v>0</v>
      </c>
      <c r="R160" s="2">
        <f>IF($C$25&gt;=R154-8,$C$29,0)*$E$156</f>
        <v>0</v>
      </c>
      <c r="S160" s="2">
        <f t="shared" si="105"/>
        <v>0</v>
      </c>
      <c r="T160" s="24"/>
      <c r="U160" s="2">
        <f t="shared" si="104"/>
        <v>0</v>
      </c>
      <c r="W160" s="2">
        <f>E156*$C$37</f>
        <v>0</v>
      </c>
    </row>
    <row r="161" spans="2:23" x14ac:dyDescent="0.35">
      <c r="B161" s="100"/>
      <c r="C161" s="101"/>
      <c r="D161" s="103"/>
      <c r="E161" s="101"/>
      <c r="F161" s="3" t="s">
        <v>9</v>
      </c>
      <c r="G161" s="21"/>
      <c r="H161" s="21"/>
      <c r="I161" s="21"/>
      <c r="J161" s="21"/>
      <c r="K161" s="21"/>
      <c r="L161" s="21"/>
      <c r="M161" s="21"/>
      <c r="N161" s="21"/>
      <c r="O161" s="2">
        <f>IF($C$25+9=O154,$C$38,0)*$E$156</f>
        <v>0</v>
      </c>
      <c r="P161" s="2">
        <f>IF($C$25+9=P154,$C$38,0)*$E$156</f>
        <v>0</v>
      </c>
      <c r="Q161" s="2">
        <f>IF($C$25+9=Q154,$C$38,0)*$E$156</f>
        <v>0</v>
      </c>
      <c r="R161" s="2">
        <f>IF($C$25+9=R154,$C$38,0)*$E$156</f>
        <v>0</v>
      </c>
      <c r="S161" s="2">
        <f t="shared" si="105"/>
        <v>0</v>
      </c>
      <c r="T161" s="24"/>
      <c r="U161" s="2">
        <f t="shared" si="104"/>
        <v>0</v>
      </c>
      <c r="W161" s="2">
        <f>E156*$C$38</f>
        <v>0</v>
      </c>
    </row>
    <row r="162" spans="2:23" x14ac:dyDescent="0.35">
      <c r="B162" s="100"/>
      <c r="C162" s="101"/>
      <c r="D162" s="103"/>
      <c r="E162" s="101"/>
      <c r="F162" s="3" t="s">
        <v>14</v>
      </c>
      <c r="G162" s="18"/>
      <c r="H162" s="18"/>
      <c r="I162" s="21"/>
      <c r="J162" s="22"/>
      <c r="K162" s="22"/>
      <c r="L162" s="22"/>
      <c r="M162" s="22"/>
      <c r="N162" s="22"/>
      <c r="O162" s="22"/>
      <c r="P162" s="22"/>
      <c r="Q162" s="2">
        <f>(C156+D156)*$C$30/2</f>
        <v>0</v>
      </c>
      <c r="R162" s="2">
        <f>(D156+E156)*$C$30/2</f>
        <v>0</v>
      </c>
      <c r="S162" s="2">
        <f t="shared" si="105"/>
        <v>0</v>
      </c>
      <c r="T162" s="20"/>
      <c r="U162" s="2">
        <f>(C156+D156)*$C$30/2</f>
        <v>0</v>
      </c>
      <c r="W162" s="2">
        <f>(C156+D156)*$C$30</f>
        <v>0</v>
      </c>
    </row>
    <row r="163" spans="2:23" x14ac:dyDescent="0.35">
      <c r="B163" s="100"/>
      <c r="C163" s="101"/>
      <c r="D163" s="103"/>
      <c r="E163" s="101"/>
      <c r="F163" s="3" t="s">
        <v>15</v>
      </c>
      <c r="G163" s="18"/>
      <c r="H163" s="18"/>
      <c r="I163" s="21"/>
      <c r="J163" s="22"/>
      <c r="K163" s="22"/>
      <c r="L163" s="22"/>
      <c r="M163" s="22"/>
      <c r="N163" s="22"/>
      <c r="O163" s="22"/>
      <c r="P163" s="22"/>
      <c r="Q163" s="2">
        <f>(C156+D156)*$C$31/2</f>
        <v>0</v>
      </c>
      <c r="R163" s="2">
        <f>(D156+E156)*$C$31/2</f>
        <v>0</v>
      </c>
      <c r="S163" s="2">
        <f t="shared" si="105"/>
        <v>0</v>
      </c>
      <c r="T163" s="20"/>
      <c r="U163" s="2">
        <f>(C156+D156)*$C$31/2</f>
        <v>0</v>
      </c>
      <c r="W163" s="2">
        <f>(C156+D156)*$C$31</f>
        <v>0</v>
      </c>
    </row>
    <row r="164" spans="2:23" x14ac:dyDescent="0.35">
      <c r="B164" s="100"/>
      <c r="C164" s="101"/>
      <c r="D164" s="103"/>
      <c r="E164" s="101"/>
      <c r="F164" s="3" t="s">
        <v>22</v>
      </c>
      <c r="G164" s="21"/>
      <c r="H164" s="21"/>
      <c r="I164" s="21"/>
      <c r="J164" s="21"/>
      <c r="K164" s="21"/>
      <c r="L164" s="21"/>
      <c r="M164" s="21"/>
      <c r="N164" s="21"/>
      <c r="O164" s="2">
        <f>IF($C$25&gt;=O154-8,$C$33,0)*($C$156+$D$156)</f>
        <v>0</v>
      </c>
      <c r="P164" s="2">
        <f>IF($C$25&gt;=P154-8,$C$33,0)*($C$156+$D$156)</f>
        <v>0</v>
      </c>
      <c r="Q164" s="2">
        <f>IF($C$25&gt;=Q154-8,$C$33,0)*($C$156+$D$156)</f>
        <v>0</v>
      </c>
      <c r="R164" s="2">
        <f>IF($C$25&gt;=R154-8,$C$33,0)*($C$156+$D$156)</f>
        <v>0</v>
      </c>
      <c r="S164" s="2">
        <f t="shared" si="105"/>
        <v>0</v>
      </c>
      <c r="T164" s="20"/>
      <c r="U164" s="19">
        <f>W164-S164</f>
        <v>0</v>
      </c>
      <c r="W164" s="2">
        <f>(C156+D156)*($C$32*0.8)</f>
        <v>0</v>
      </c>
    </row>
    <row r="165" spans="2:23" x14ac:dyDescent="0.35">
      <c r="B165" s="100"/>
      <c r="C165" s="101"/>
      <c r="D165" s="104"/>
      <c r="E165" s="101"/>
      <c r="F165" s="3" t="s">
        <v>23</v>
      </c>
      <c r="G165" s="21"/>
      <c r="H165" s="21"/>
      <c r="I165" s="21"/>
      <c r="J165" s="21"/>
      <c r="K165" s="21"/>
      <c r="L165" s="21"/>
      <c r="M165" s="21"/>
      <c r="N165" s="21"/>
      <c r="O165" s="2">
        <f>IF($C$25+1=O154-8,$C$34,0)*($C$156+$D$156)</f>
        <v>0</v>
      </c>
      <c r="P165" s="2">
        <f>IF($C$25+1=P154-8,$C$34,0)*($C$156+$D$156)</f>
        <v>0</v>
      </c>
      <c r="Q165" s="2">
        <f>IF($C$25+1=Q154-8,$C$34,0)*($C$156+$D$156)</f>
        <v>0</v>
      </c>
      <c r="R165" s="2">
        <f>IF($C$25+1=R154-8,$C$34,0)*($C$156+$D$156)</f>
        <v>0</v>
      </c>
      <c r="S165" s="2">
        <f t="shared" si="105"/>
        <v>0</v>
      </c>
      <c r="T165" s="20"/>
      <c r="U165" s="2">
        <f>W165-S165</f>
        <v>0</v>
      </c>
      <c r="V165" s="20"/>
      <c r="W165" s="2">
        <f>(C156+D156)*$C$34</f>
        <v>0</v>
      </c>
    </row>
    <row r="167" spans="2:23" x14ac:dyDescent="0.35">
      <c r="F167" s="6" t="s">
        <v>18</v>
      </c>
      <c r="G167" s="6">
        <v>1</v>
      </c>
      <c r="H167" s="6">
        <v>2</v>
      </c>
      <c r="I167" s="6">
        <v>3</v>
      </c>
      <c r="J167" s="6">
        <v>4</v>
      </c>
      <c r="K167" s="6">
        <v>5</v>
      </c>
      <c r="L167" s="6">
        <v>6</v>
      </c>
      <c r="M167" s="6">
        <v>7</v>
      </c>
      <c r="N167" s="6">
        <v>8</v>
      </c>
      <c r="O167" s="6">
        <v>9</v>
      </c>
      <c r="P167" s="6">
        <v>10</v>
      </c>
      <c r="Q167" s="6">
        <v>11</v>
      </c>
      <c r="R167" s="6">
        <v>12</v>
      </c>
    </row>
    <row r="168" spans="2:23" ht="37.5" x14ac:dyDescent="0.35">
      <c r="B168" s="81" t="s">
        <v>17</v>
      </c>
      <c r="C168" s="81" t="s">
        <v>10</v>
      </c>
      <c r="D168" s="81" t="s">
        <v>11</v>
      </c>
      <c r="E168" s="81" t="s">
        <v>12</v>
      </c>
      <c r="F168" s="75"/>
      <c r="G168" s="60">
        <v>43313</v>
      </c>
      <c r="H168" s="60">
        <v>43344</v>
      </c>
      <c r="I168" s="60">
        <v>43374</v>
      </c>
      <c r="J168" s="60">
        <v>43405</v>
      </c>
      <c r="K168" s="60">
        <v>43435</v>
      </c>
      <c r="L168" s="60">
        <v>43466</v>
      </c>
      <c r="M168" s="60">
        <v>43497</v>
      </c>
      <c r="N168" s="60">
        <v>43525</v>
      </c>
      <c r="O168" s="60">
        <v>43556</v>
      </c>
      <c r="P168" s="60">
        <v>43586</v>
      </c>
      <c r="Q168" s="60">
        <v>43617</v>
      </c>
      <c r="R168" s="60">
        <v>43647</v>
      </c>
      <c r="S168" s="76" t="s">
        <v>16</v>
      </c>
      <c r="T168" s="20"/>
      <c r="U168" s="81" t="s">
        <v>56</v>
      </c>
      <c r="W168" s="81" t="s">
        <v>16</v>
      </c>
    </row>
    <row r="169" spans="2:23" x14ac:dyDescent="0.35">
      <c r="B169" s="100">
        <v>43586</v>
      </c>
      <c r="C169" s="101">
        <f>P22</f>
        <v>0</v>
      </c>
      <c r="D169" s="102">
        <f>P23</f>
        <v>0</v>
      </c>
      <c r="E169" s="101">
        <f>P25</f>
        <v>0</v>
      </c>
      <c r="F169" s="3" t="s">
        <v>4</v>
      </c>
      <c r="G169" s="21"/>
      <c r="H169" s="21"/>
      <c r="I169" s="21"/>
      <c r="J169" s="21"/>
      <c r="K169" s="21"/>
      <c r="L169" s="21"/>
      <c r="M169" s="21"/>
      <c r="N169" s="21"/>
      <c r="O169" s="21"/>
      <c r="P169" s="2">
        <f>IF($C$25&gt;=P167-9,$C$28,0)*$C$169</f>
        <v>0</v>
      </c>
      <c r="Q169" s="2">
        <f>IF($C$25&gt;=Q167-9,$C$28,0)*$C$169</f>
        <v>0</v>
      </c>
      <c r="R169" s="2">
        <f>IF($C$25&gt;=R167-9,$C$28,0)*$C$169</f>
        <v>0</v>
      </c>
      <c r="S169" s="2">
        <f>SUM(G169:R169)</f>
        <v>0</v>
      </c>
      <c r="T169" s="20"/>
      <c r="U169" s="2">
        <f t="shared" ref="U169:U174" si="106">W169-S169</f>
        <v>0</v>
      </c>
      <c r="W169" s="2">
        <f>C169*$C$35</f>
        <v>0</v>
      </c>
    </row>
    <row r="170" spans="2:23" x14ac:dyDescent="0.35">
      <c r="B170" s="100"/>
      <c r="C170" s="101"/>
      <c r="D170" s="103"/>
      <c r="E170" s="101"/>
      <c r="F170" s="3" t="s">
        <v>5</v>
      </c>
      <c r="G170" s="21"/>
      <c r="H170" s="21"/>
      <c r="I170" s="21"/>
      <c r="J170" s="21"/>
      <c r="K170" s="21"/>
      <c r="L170" s="21"/>
      <c r="M170" s="21"/>
      <c r="N170" s="21"/>
      <c r="O170" s="21"/>
      <c r="P170" s="2">
        <f>IF($C$25+10=P167,$C$36,0)*$C$169</f>
        <v>0</v>
      </c>
      <c r="Q170" s="2">
        <f>IF($C$25+10=Q167,$C$36,0)*$C$169</f>
        <v>0</v>
      </c>
      <c r="R170" s="2">
        <f>IF($C$25+10=R167,$C$36,0)*$C$169</f>
        <v>0</v>
      </c>
      <c r="S170" s="2">
        <f t="shared" ref="S170:S178" si="107">SUM(G170:R170)</f>
        <v>0</v>
      </c>
      <c r="T170" s="24"/>
      <c r="U170" s="2">
        <f t="shared" si="106"/>
        <v>0</v>
      </c>
      <c r="W170" s="2">
        <f>C169*$C$36</f>
        <v>0</v>
      </c>
    </row>
    <row r="171" spans="2:23" x14ac:dyDescent="0.35">
      <c r="B171" s="100"/>
      <c r="C171" s="101"/>
      <c r="D171" s="103"/>
      <c r="E171" s="101"/>
      <c r="F171" s="3" t="s">
        <v>6</v>
      </c>
      <c r="G171" s="21"/>
      <c r="H171" s="21"/>
      <c r="I171" s="21"/>
      <c r="J171" s="21"/>
      <c r="K171" s="21"/>
      <c r="L171" s="21"/>
      <c r="M171" s="21"/>
      <c r="N171" s="21"/>
      <c r="O171" s="21"/>
      <c r="P171" s="2">
        <f>IF($C$25&gt;=P167-9,$C$29,0)*$D$169</f>
        <v>0</v>
      </c>
      <c r="Q171" s="2">
        <f>IF($C$25&gt;=Q167-9,$C$29,0)*$D$169</f>
        <v>0</v>
      </c>
      <c r="R171" s="2">
        <f>IF($C$25&gt;=R167-9,$C$29,0)*$D$169</f>
        <v>0</v>
      </c>
      <c r="S171" s="2">
        <f t="shared" si="107"/>
        <v>0</v>
      </c>
      <c r="T171" s="24"/>
      <c r="U171" s="2">
        <f t="shared" si="106"/>
        <v>0</v>
      </c>
      <c r="W171" s="2">
        <f>D169*$C$37</f>
        <v>0</v>
      </c>
    </row>
    <row r="172" spans="2:23" x14ac:dyDescent="0.35">
      <c r="B172" s="100"/>
      <c r="C172" s="101"/>
      <c r="D172" s="103"/>
      <c r="E172" s="101"/>
      <c r="F172" s="3" t="s">
        <v>7</v>
      </c>
      <c r="G172" s="21"/>
      <c r="H172" s="21"/>
      <c r="I172" s="21"/>
      <c r="J172" s="21"/>
      <c r="K172" s="21"/>
      <c r="L172" s="21"/>
      <c r="M172" s="21"/>
      <c r="N172" s="21"/>
      <c r="O172" s="21"/>
      <c r="P172" s="2">
        <f>IF($C$25+10=P167,$C$38,0)*$D$169</f>
        <v>0</v>
      </c>
      <c r="Q172" s="2">
        <f>IF($C$25+10=Q167,$C$38,0)*$D$169</f>
        <v>0</v>
      </c>
      <c r="R172" s="2">
        <f>IF($C$25+10=R167,$C$38,0)*$D$169</f>
        <v>0</v>
      </c>
      <c r="S172" s="2">
        <f t="shared" si="107"/>
        <v>0</v>
      </c>
      <c r="T172" s="24"/>
      <c r="U172" s="2">
        <f t="shared" si="106"/>
        <v>0</v>
      </c>
      <c r="W172" s="2">
        <f>D169*$C$38</f>
        <v>0</v>
      </c>
    </row>
    <row r="173" spans="2:23" x14ac:dyDescent="0.35">
      <c r="B173" s="100"/>
      <c r="C173" s="101"/>
      <c r="D173" s="103"/>
      <c r="E173" s="101"/>
      <c r="F173" s="3" t="s">
        <v>8</v>
      </c>
      <c r="G173" s="21"/>
      <c r="H173" s="21"/>
      <c r="I173" s="21"/>
      <c r="J173" s="21"/>
      <c r="K173" s="21"/>
      <c r="L173" s="21"/>
      <c r="M173" s="21"/>
      <c r="N173" s="21"/>
      <c r="O173" s="21"/>
      <c r="P173" s="2">
        <f>IF($C$25&gt;=P167-9,$C$29,0)*$E$169</f>
        <v>0</v>
      </c>
      <c r="Q173" s="2">
        <f>IF($C$25&gt;=Q167-9,$C$29,0)*$E$169</f>
        <v>0</v>
      </c>
      <c r="R173" s="2">
        <f>IF($C$25&gt;=R167-9,$C$29,0)*$E$169</f>
        <v>0</v>
      </c>
      <c r="S173" s="2">
        <f t="shared" si="107"/>
        <v>0</v>
      </c>
      <c r="T173" s="24"/>
      <c r="U173" s="2">
        <f t="shared" si="106"/>
        <v>0</v>
      </c>
      <c r="W173" s="2">
        <f>E169*$C$37</f>
        <v>0</v>
      </c>
    </row>
    <row r="174" spans="2:23" x14ac:dyDescent="0.35">
      <c r="B174" s="100"/>
      <c r="C174" s="101"/>
      <c r="D174" s="103"/>
      <c r="E174" s="101"/>
      <c r="F174" s="3" t="s">
        <v>9</v>
      </c>
      <c r="G174" s="21"/>
      <c r="H174" s="21"/>
      <c r="I174" s="21"/>
      <c r="J174" s="21"/>
      <c r="K174" s="21"/>
      <c r="L174" s="21"/>
      <c r="M174" s="21"/>
      <c r="N174" s="21"/>
      <c r="O174" s="21"/>
      <c r="P174" s="2">
        <f>IF($C$25+10=P167,$C$38,0)*$E$169</f>
        <v>0</v>
      </c>
      <c r="Q174" s="2">
        <f>IF($C$25+10=Q167,$C$38,0)*$E$169</f>
        <v>0</v>
      </c>
      <c r="R174" s="2">
        <f>IF($C$25+10=R167,$C$38,0)*$E$169</f>
        <v>0</v>
      </c>
      <c r="S174" s="2">
        <f t="shared" si="107"/>
        <v>0</v>
      </c>
      <c r="T174" s="24"/>
      <c r="U174" s="2">
        <f t="shared" si="106"/>
        <v>0</v>
      </c>
      <c r="W174" s="2">
        <f>E169*$C$38</f>
        <v>0</v>
      </c>
    </row>
    <row r="175" spans="2:23" x14ac:dyDescent="0.35">
      <c r="B175" s="100"/>
      <c r="C175" s="101"/>
      <c r="D175" s="103"/>
      <c r="E175" s="101"/>
      <c r="F175" s="3" t="s">
        <v>14</v>
      </c>
      <c r="G175" s="18"/>
      <c r="H175" s="18"/>
      <c r="I175" s="21"/>
      <c r="J175" s="22"/>
      <c r="K175" s="22"/>
      <c r="L175" s="22"/>
      <c r="M175" s="22"/>
      <c r="N175" s="22"/>
      <c r="O175" s="22"/>
      <c r="P175" s="22"/>
      <c r="Q175" s="22"/>
      <c r="R175" s="22"/>
      <c r="S175" s="2">
        <f t="shared" si="107"/>
        <v>0</v>
      </c>
      <c r="T175" s="20"/>
      <c r="U175" s="2">
        <f>(C169+D169)*$C$30/2</f>
        <v>0</v>
      </c>
      <c r="W175" s="2">
        <f>(C169+D169)*$C$30</f>
        <v>0</v>
      </c>
    </row>
    <row r="176" spans="2:23" x14ac:dyDescent="0.35">
      <c r="B176" s="100"/>
      <c r="C176" s="101"/>
      <c r="D176" s="103"/>
      <c r="E176" s="101"/>
      <c r="F176" s="3" t="s">
        <v>15</v>
      </c>
      <c r="G176" s="18"/>
      <c r="H176" s="18"/>
      <c r="I176" s="21"/>
      <c r="J176" s="22"/>
      <c r="K176" s="22"/>
      <c r="L176" s="22"/>
      <c r="M176" s="22"/>
      <c r="N176" s="22"/>
      <c r="O176" s="22"/>
      <c r="P176" s="22"/>
      <c r="Q176" s="22"/>
      <c r="R176" s="22"/>
      <c r="S176" s="2">
        <f t="shared" si="107"/>
        <v>0</v>
      </c>
      <c r="T176" s="20"/>
      <c r="U176" s="2">
        <f>(C169+D169)*$C$31/2</f>
        <v>0</v>
      </c>
      <c r="W176" s="2">
        <f>(C169+D169)*$C$31</f>
        <v>0</v>
      </c>
    </row>
    <row r="177" spans="2:23" x14ac:dyDescent="0.35">
      <c r="B177" s="100"/>
      <c r="C177" s="101"/>
      <c r="D177" s="103"/>
      <c r="E177" s="101"/>
      <c r="F177" s="3" t="s">
        <v>22</v>
      </c>
      <c r="G177" s="21"/>
      <c r="H177" s="21"/>
      <c r="I177" s="21"/>
      <c r="J177" s="21"/>
      <c r="K177" s="21"/>
      <c r="L177" s="21"/>
      <c r="M177" s="21"/>
      <c r="N177" s="21"/>
      <c r="O177" s="21"/>
      <c r="P177" s="2">
        <f>IF($C$25&gt;=P167-9,$C$33,0)*($C$169+$D$169)</f>
        <v>0</v>
      </c>
      <c r="Q177" s="2">
        <f>IF($C$25&gt;=Q167-9,$C$33,0)*($C$169+$D$169)</f>
        <v>0</v>
      </c>
      <c r="R177" s="2">
        <f>IF($C$25&gt;=R167-9,$C$33,0)*($C$169+$D$169)</f>
        <v>0</v>
      </c>
      <c r="S177" s="2">
        <f t="shared" si="107"/>
        <v>0</v>
      </c>
      <c r="T177" s="20"/>
      <c r="U177" s="19">
        <f>W177-S177</f>
        <v>0</v>
      </c>
      <c r="W177" s="2">
        <f>(C169+D169)*($C$32*0.8)</f>
        <v>0</v>
      </c>
    </row>
    <row r="178" spans="2:23" x14ac:dyDescent="0.35">
      <c r="B178" s="100"/>
      <c r="C178" s="101"/>
      <c r="D178" s="104"/>
      <c r="E178" s="101"/>
      <c r="F178" s="3" t="s">
        <v>23</v>
      </c>
      <c r="G178" s="21"/>
      <c r="H178" s="21"/>
      <c r="I178" s="21"/>
      <c r="J178" s="21"/>
      <c r="K178" s="21"/>
      <c r="L178" s="21"/>
      <c r="M178" s="21"/>
      <c r="N178" s="21"/>
      <c r="O178" s="21"/>
      <c r="P178" s="2">
        <f>IF($C$25+1=P167-9,$C$34,0)*($C$169+$D$169)</f>
        <v>0</v>
      </c>
      <c r="Q178" s="2">
        <f>IF($C$25+1=Q167-9,$C$34,0)*($C$169+$D$169)</f>
        <v>0</v>
      </c>
      <c r="R178" s="2">
        <f>IF($C$25+1=R167-9,$C$34,0)*($C$169+$D$169)</f>
        <v>0</v>
      </c>
      <c r="S178" s="2">
        <f t="shared" si="107"/>
        <v>0</v>
      </c>
      <c r="T178" s="20"/>
      <c r="U178" s="2">
        <f>W178-S178</f>
        <v>0</v>
      </c>
      <c r="V178" s="20"/>
      <c r="W178" s="2">
        <f>(C169+D169)*$C$34</f>
        <v>0</v>
      </c>
    </row>
    <row r="180" spans="2:23" x14ac:dyDescent="0.35">
      <c r="F180" s="6" t="s">
        <v>18</v>
      </c>
      <c r="G180" s="6">
        <v>1</v>
      </c>
      <c r="H180" s="6">
        <v>2</v>
      </c>
      <c r="I180" s="6">
        <v>3</v>
      </c>
      <c r="J180" s="6">
        <v>4</v>
      </c>
      <c r="K180" s="6">
        <v>5</v>
      </c>
      <c r="L180" s="6">
        <v>6</v>
      </c>
      <c r="M180" s="6">
        <v>7</v>
      </c>
      <c r="N180" s="6">
        <v>8</v>
      </c>
      <c r="O180" s="6">
        <v>9</v>
      </c>
      <c r="P180" s="6">
        <v>10</v>
      </c>
      <c r="Q180" s="6">
        <v>11</v>
      </c>
      <c r="R180" s="6">
        <v>12</v>
      </c>
    </row>
    <row r="181" spans="2:23" ht="37.5" x14ac:dyDescent="0.35">
      <c r="B181" s="81" t="s">
        <v>17</v>
      </c>
      <c r="C181" s="81" t="s">
        <v>10</v>
      </c>
      <c r="D181" s="81" t="s">
        <v>11</v>
      </c>
      <c r="E181" s="81" t="s">
        <v>12</v>
      </c>
      <c r="F181" s="75"/>
      <c r="G181" s="60">
        <v>43313</v>
      </c>
      <c r="H181" s="60">
        <v>43344</v>
      </c>
      <c r="I181" s="60">
        <v>43374</v>
      </c>
      <c r="J181" s="60">
        <v>43405</v>
      </c>
      <c r="K181" s="60">
        <v>43435</v>
      </c>
      <c r="L181" s="60">
        <v>43466</v>
      </c>
      <c r="M181" s="60">
        <v>43497</v>
      </c>
      <c r="N181" s="60">
        <v>43525</v>
      </c>
      <c r="O181" s="60">
        <v>43556</v>
      </c>
      <c r="P181" s="60">
        <v>43586</v>
      </c>
      <c r="Q181" s="60">
        <v>43617</v>
      </c>
      <c r="R181" s="60">
        <v>43647</v>
      </c>
      <c r="S181" s="76" t="s">
        <v>16</v>
      </c>
      <c r="T181" s="20"/>
      <c r="U181" s="81" t="s">
        <v>56</v>
      </c>
      <c r="W181" s="81" t="s">
        <v>16</v>
      </c>
    </row>
    <row r="182" spans="2:23" x14ac:dyDescent="0.35">
      <c r="B182" s="100">
        <v>43617</v>
      </c>
      <c r="C182" s="101">
        <f>Q22</f>
        <v>0</v>
      </c>
      <c r="D182" s="102">
        <f>Q23</f>
        <v>0</v>
      </c>
      <c r="E182" s="101">
        <f>Q25</f>
        <v>0</v>
      </c>
      <c r="F182" s="3" t="s">
        <v>4</v>
      </c>
      <c r="G182" s="21"/>
      <c r="H182" s="21"/>
      <c r="I182" s="21"/>
      <c r="J182" s="21"/>
      <c r="K182" s="21"/>
      <c r="L182" s="21"/>
      <c r="M182" s="21"/>
      <c r="N182" s="21"/>
      <c r="O182" s="21"/>
      <c r="P182" s="21"/>
      <c r="Q182" s="2">
        <f>IF($C$25&gt;=Q180-10,$C$28,0)*$C$182</f>
        <v>0</v>
      </c>
      <c r="R182" s="2">
        <f>IF($C$25&gt;=R180-10,$C$28,0)*$C$182</f>
        <v>0</v>
      </c>
      <c r="S182" s="2">
        <f>SUM(G182:R182)</f>
        <v>0</v>
      </c>
      <c r="T182" s="20"/>
      <c r="U182" s="2">
        <f t="shared" ref="U182:U187" si="108">W182-S182</f>
        <v>0</v>
      </c>
      <c r="W182" s="2">
        <f>C182*$C$35</f>
        <v>0</v>
      </c>
    </row>
    <row r="183" spans="2:23" x14ac:dyDescent="0.35">
      <c r="B183" s="100"/>
      <c r="C183" s="101"/>
      <c r="D183" s="103"/>
      <c r="E183" s="101"/>
      <c r="F183" s="3" t="s">
        <v>5</v>
      </c>
      <c r="G183" s="21"/>
      <c r="H183" s="21"/>
      <c r="I183" s="21"/>
      <c r="J183" s="21"/>
      <c r="K183" s="21"/>
      <c r="L183" s="21"/>
      <c r="M183" s="21"/>
      <c r="N183" s="21"/>
      <c r="O183" s="21"/>
      <c r="P183" s="21"/>
      <c r="Q183" s="2">
        <f>IF($C$25+11=Q180,$C$36,0)*$C$182</f>
        <v>0</v>
      </c>
      <c r="R183" s="2">
        <f>IF($C$25+11=R180,$C$36,0)*$C$182</f>
        <v>0</v>
      </c>
      <c r="S183" s="2">
        <f t="shared" ref="S183:S191" si="109">SUM(G183:R183)</f>
        <v>0</v>
      </c>
      <c r="T183" s="24"/>
      <c r="U183" s="2">
        <f t="shared" si="108"/>
        <v>0</v>
      </c>
      <c r="W183" s="2">
        <f>C182*$C$36</f>
        <v>0</v>
      </c>
    </row>
    <row r="184" spans="2:23" x14ac:dyDescent="0.35">
      <c r="B184" s="100"/>
      <c r="C184" s="101"/>
      <c r="D184" s="103"/>
      <c r="E184" s="101"/>
      <c r="F184" s="3" t="s">
        <v>6</v>
      </c>
      <c r="G184" s="21"/>
      <c r="H184" s="21"/>
      <c r="I184" s="21"/>
      <c r="J184" s="21"/>
      <c r="K184" s="21"/>
      <c r="L184" s="21"/>
      <c r="M184" s="21"/>
      <c r="N184" s="21"/>
      <c r="O184" s="21"/>
      <c r="P184" s="21"/>
      <c r="Q184" s="2">
        <f>IF($C$25&gt;=Q180-10,$C$29,0)*$D$182</f>
        <v>0</v>
      </c>
      <c r="R184" s="2">
        <f>IF($C$25&gt;=R180-10,$C$29,0)*$D$182</f>
        <v>0</v>
      </c>
      <c r="S184" s="2">
        <f t="shared" si="109"/>
        <v>0</v>
      </c>
      <c r="T184" s="24"/>
      <c r="U184" s="2">
        <f t="shared" si="108"/>
        <v>0</v>
      </c>
      <c r="W184" s="2">
        <f>D182*$C$37</f>
        <v>0</v>
      </c>
    </row>
    <row r="185" spans="2:23" x14ac:dyDescent="0.35">
      <c r="B185" s="100"/>
      <c r="C185" s="101"/>
      <c r="D185" s="103"/>
      <c r="E185" s="101"/>
      <c r="F185" s="3" t="s">
        <v>7</v>
      </c>
      <c r="G185" s="21"/>
      <c r="H185" s="21"/>
      <c r="I185" s="21"/>
      <c r="J185" s="21"/>
      <c r="K185" s="21"/>
      <c r="L185" s="21"/>
      <c r="M185" s="21"/>
      <c r="N185" s="21"/>
      <c r="O185" s="21"/>
      <c r="P185" s="21"/>
      <c r="Q185" s="2">
        <f>IF($C$25+11=Q180,$C$38,0)*$D$182</f>
        <v>0</v>
      </c>
      <c r="R185" s="2">
        <f>IF($C$25+11=R180,$C$38,0)*$D$182</f>
        <v>0</v>
      </c>
      <c r="S185" s="2">
        <f t="shared" si="109"/>
        <v>0</v>
      </c>
      <c r="T185" s="24"/>
      <c r="U185" s="2">
        <f t="shared" si="108"/>
        <v>0</v>
      </c>
      <c r="W185" s="2">
        <f>D182*$C$38</f>
        <v>0</v>
      </c>
    </row>
    <row r="186" spans="2:23" x14ac:dyDescent="0.35">
      <c r="B186" s="100"/>
      <c r="C186" s="101"/>
      <c r="D186" s="103"/>
      <c r="E186" s="101"/>
      <c r="F186" s="3" t="s">
        <v>8</v>
      </c>
      <c r="G186" s="21"/>
      <c r="H186" s="21"/>
      <c r="I186" s="21"/>
      <c r="J186" s="21"/>
      <c r="K186" s="21"/>
      <c r="L186" s="21"/>
      <c r="M186" s="21"/>
      <c r="N186" s="21"/>
      <c r="O186" s="21"/>
      <c r="P186" s="21"/>
      <c r="Q186" s="2">
        <f>IF($C$25&gt;=Q180-10,$C$29,0)*$E$182</f>
        <v>0</v>
      </c>
      <c r="R186" s="2">
        <f>IF($C$25&gt;=R180-10,$C$29,0)*$E$182</f>
        <v>0</v>
      </c>
      <c r="S186" s="2">
        <f t="shared" si="109"/>
        <v>0</v>
      </c>
      <c r="T186" s="24"/>
      <c r="U186" s="2">
        <f t="shared" si="108"/>
        <v>0</v>
      </c>
      <c r="W186" s="2">
        <f>E182*$C$37</f>
        <v>0</v>
      </c>
    </row>
    <row r="187" spans="2:23" x14ac:dyDescent="0.35">
      <c r="B187" s="100"/>
      <c r="C187" s="101"/>
      <c r="D187" s="103"/>
      <c r="E187" s="101"/>
      <c r="F187" s="3" t="s">
        <v>9</v>
      </c>
      <c r="G187" s="21"/>
      <c r="H187" s="21"/>
      <c r="I187" s="21"/>
      <c r="J187" s="21"/>
      <c r="K187" s="21"/>
      <c r="L187" s="21"/>
      <c r="M187" s="21"/>
      <c r="N187" s="21"/>
      <c r="O187" s="21"/>
      <c r="P187" s="21"/>
      <c r="Q187" s="2">
        <f>IF($C$25+11=Q180,$C$38,0)*$E$182</f>
        <v>0</v>
      </c>
      <c r="R187" s="2">
        <f>IF($C$25+11=R180,$C$38,0)*$E$182</f>
        <v>0</v>
      </c>
      <c r="S187" s="2">
        <f t="shared" si="109"/>
        <v>0</v>
      </c>
      <c r="T187" s="24"/>
      <c r="U187" s="2">
        <f t="shared" si="108"/>
        <v>0</v>
      </c>
      <c r="W187" s="2">
        <f>E182*$C$38</f>
        <v>0</v>
      </c>
    </row>
    <row r="188" spans="2:23" x14ac:dyDescent="0.35">
      <c r="B188" s="100"/>
      <c r="C188" s="101"/>
      <c r="D188" s="103"/>
      <c r="E188" s="101"/>
      <c r="F188" s="3" t="s">
        <v>14</v>
      </c>
      <c r="G188" s="18"/>
      <c r="H188" s="18"/>
      <c r="I188" s="21"/>
      <c r="J188" s="22"/>
      <c r="K188" s="22"/>
      <c r="L188" s="22"/>
      <c r="M188" s="22"/>
      <c r="N188" s="22"/>
      <c r="O188" s="22"/>
      <c r="P188" s="22"/>
      <c r="Q188" s="22"/>
      <c r="R188" s="22"/>
      <c r="S188" s="2">
        <f t="shared" si="109"/>
        <v>0</v>
      </c>
      <c r="T188" s="20"/>
      <c r="U188" s="2">
        <f>(C182+D182)*$C$30/2</f>
        <v>0</v>
      </c>
      <c r="W188" s="2">
        <f>(C182+D182)*$C$30</f>
        <v>0</v>
      </c>
    </row>
    <row r="189" spans="2:23" x14ac:dyDescent="0.35">
      <c r="B189" s="100"/>
      <c r="C189" s="101"/>
      <c r="D189" s="103"/>
      <c r="E189" s="101"/>
      <c r="F189" s="3" t="s">
        <v>15</v>
      </c>
      <c r="G189" s="18"/>
      <c r="H189" s="18"/>
      <c r="I189" s="21"/>
      <c r="J189" s="22"/>
      <c r="K189" s="22"/>
      <c r="L189" s="22"/>
      <c r="M189" s="22"/>
      <c r="N189" s="22"/>
      <c r="O189" s="22"/>
      <c r="P189" s="22"/>
      <c r="Q189" s="22"/>
      <c r="R189" s="22"/>
      <c r="S189" s="2">
        <f t="shared" si="109"/>
        <v>0</v>
      </c>
      <c r="T189" s="20"/>
      <c r="U189" s="2">
        <f>(C182+D182)*$C$31/2</f>
        <v>0</v>
      </c>
      <c r="W189" s="2">
        <f>(C182+D182)*$C$31</f>
        <v>0</v>
      </c>
    </row>
    <row r="190" spans="2:23" x14ac:dyDescent="0.35">
      <c r="B190" s="100"/>
      <c r="C190" s="101"/>
      <c r="D190" s="103"/>
      <c r="E190" s="101"/>
      <c r="F190" s="3" t="s">
        <v>22</v>
      </c>
      <c r="G190" s="21"/>
      <c r="H190" s="21"/>
      <c r="I190" s="21"/>
      <c r="J190" s="21"/>
      <c r="K190" s="21"/>
      <c r="L190" s="21"/>
      <c r="M190" s="21"/>
      <c r="N190" s="21"/>
      <c r="O190" s="21"/>
      <c r="P190" s="21"/>
      <c r="Q190" s="2">
        <f>IF($C$25&gt;=Q180-10,$C$33,0)*($C$182+$D$182)</f>
        <v>0</v>
      </c>
      <c r="R190" s="2">
        <f>IF($C$25&gt;=R180-10,$C$33,0)*($C$182+$D$182)</f>
        <v>0</v>
      </c>
      <c r="S190" s="2">
        <f t="shared" si="109"/>
        <v>0</v>
      </c>
      <c r="T190" s="20"/>
      <c r="U190" s="19">
        <f>W190-S190</f>
        <v>0</v>
      </c>
      <c r="W190" s="2">
        <f>(C182+D182)*($C$32*0.8)</f>
        <v>0</v>
      </c>
    </row>
    <row r="191" spans="2:23" x14ac:dyDescent="0.35">
      <c r="B191" s="100"/>
      <c r="C191" s="101"/>
      <c r="D191" s="104"/>
      <c r="E191" s="101"/>
      <c r="F191" s="3" t="s">
        <v>23</v>
      </c>
      <c r="G191" s="21"/>
      <c r="H191" s="21"/>
      <c r="I191" s="21"/>
      <c r="J191" s="21"/>
      <c r="K191" s="21"/>
      <c r="L191" s="21"/>
      <c r="M191" s="21"/>
      <c r="N191" s="21"/>
      <c r="O191" s="21"/>
      <c r="P191" s="21"/>
      <c r="Q191" s="2">
        <f>IF($C$25+1=Q180-10,$C$34,0)*($C$182+$D$182)</f>
        <v>0</v>
      </c>
      <c r="R191" s="2">
        <f>IF($C$25+1=R180-10,$C$34,0)*($C$182+$D$182)</f>
        <v>0</v>
      </c>
      <c r="S191" s="2">
        <f t="shared" si="109"/>
        <v>0</v>
      </c>
      <c r="T191" s="20"/>
      <c r="U191" s="2">
        <f>W191-S191</f>
        <v>0</v>
      </c>
      <c r="V191" s="20"/>
      <c r="W191" s="2">
        <f>(C182+D182)*$C$34</f>
        <v>0</v>
      </c>
    </row>
    <row r="193" spans="2:23" x14ac:dyDescent="0.35">
      <c r="F193" s="6" t="s">
        <v>18</v>
      </c>
      <c r="G193" s="6">
        <v>1</v>
      </c>
      <c r="H193" s="6">
        <v>2</v>
      </c>
      <c r="I193" s="6">
        <v>3</v>
      </c>
      <c r="J193" s="6">
        <v>4</v>
      </c>
      <c r="K193" s="6">
        <v>5</v>
      </c>
      <c r="L193" s="6">
        <v>6</v>
      </c>
      <c r="M193" s="6">
        <v>7</v>
      </c>
      <c r="N193" s="6">
        <v>8</v>
      </c>
      <c r="O193" s="6">
        <v>9</v>
      </c>
      <c r="P193" s="6">
        <v>10</v>
      </c>
      <c r="Q193" s="6">
        <v>11</v>
      </c>
      <c r="R193" s="6">
        <v>12</v>
      </c>
    </row>
    <row r="194" spans="2:23" ht="37.5" x14ac:dyDescent="0.35">
      <c r="B194" s="81" t="s">
        <v>17</v>
      </c>
      <c r="C194" s="81" t="s">
        <v>10</v>
      </c>
      <c r="D194" s="81" t="s">
        <v>11</v>
      </c>
      <c r="E194" s="81" t="s">
        <v>12</v>
      </c>
      <c r="F194" s="75"/>
      <c r="G194" s="60">
        <v>43313</v>
      </c>
      <c r="H194" s="60">
        <v>43344</v>
      </c>
      <c r="I194" s="60">
        <v>43374</v>
      </c>
      <c r="J194" s="60">
        <v>43405</v>
      </c>
      <c r="K194" s="60">
        <v>43435</v>
      </c>
      <c r="L194" s="60">
        <v>43466</v>
      </c>
      <c r="M194" s="60">
        <v>43497</v>
      </c>
      <c r="N194" s="60">
        <v>43525</v>
      </c>
      <c r="O194" s="60">
        <v>43556</v>
      </c>
      <c r="P194" s="60">
        <v>43586</v>
      </c>
      <c r="Q194" s="60">
        <v>43617</v>
      </c>
      <c r="R194" s="60">
        <v>43647</v>
      </c>
      <c r="S194" s="76" t="s">
        <v>16</v>
      </c>
      <c r="T194" s="20"/>
      <c r="U194" s="81" t="s">
        <v>56</v>
      </c>
      <c r="W194" s="81" t="s">
        <v>16</v>
      </c>
    </row>
    <row r="195" spans="2:23" x14ac:dyDescent="0.35">
      <c r="B195" s="100">
        <v>43647</v>
      </c>
      <c r="C195" s="101">
        <f>R22</f>
        <v>0</v>
      </c>
      <c r="D195" s="102">
        <f>R23</f>
        <v>0</v>
      </c>
      <c r="E195" s="101">
        <f>R25</f>
        <v>0</v>
      </c>
      <c r="F195" s="3" t="s">
        <v>4</v>
      </c>
      <c r="G195" s="21"/>
      <c r="H195" s="21"/>
      <c r="I195" s="21"/>
      <c r="J195" s="21"/>
      <c r="K195" s="21"/>
      <c r="L195" s="21"/>
      <c r="M195" s="21"/>
      <c r="N195" s="21"/>
      <c r="O195" s="21"/>
      <c r="P195" s="21"/>
      <c r="Q195" s="21"/>
      <c r="R195" s="2">
        <f>IF($C$25&gt;=R193-10,$C$28,0)*$C$195</f>
        <v>0</v>
      </c>
      <c r="S195" s="2">
        <f>SUM(G195:R195)</f>
        <v>0</v>
      </c>
      <c r="T195" s="20"/>
      <c r="U195" s="2">
        <f t="shared" ref="U195:U200" si="110">W195-S195</f>
        <v>0</v>
      </c>
      <c r="W195" s="2">
        <f>C195*$C$35</f>
        <v>0</v>
      </c>
    </row>
    <row r="196" spans="2:23" x14ac:dyDescent="0.35">
      <c r="B196" s="100"/>
      <c r="C196" s="101"/>
      <c r="D196" s="103"/>
      <c r="E196" s="101"/>
      <c r="F196" s="3" t="s">
        <v>5</v>
      </c>
      <c r="G196" s="21"/>
      <c r="H196" s="21"/>
      <c r="I196" s="21"/>
      <c r="J196" s="21"/>
      <c r="K196" s="21"/>
      <c r="L196" s="21"/>
      <c r="M196" s="21"/>
      <c r="N196" s="21"/>
      <c r="O196" s="21"/>
      <c r="P196" s="21"/>
      <c r="Q196" s="21"/>
      <c r="R196" s="2">
        <f>IF($C$25+11=R193,$C$36,0)*$C$195</f>
        <v>0</v>
      </c>
      <c r="S196" s="2">
        <f>SUM(G196:R196)</f>
        <v>0</v>
      </c>
      <c r="T196" s="24"/>
      <c r="U196" s="2">
        <f t="shared" si="110"/>
        <v>0</v>
      </c>
      <c r="W196" s="2">
        <f>C195*$C$36</f>
        <v>0</v>
      </c>
    </row>
    <row r="197" spans="2:23" x14ac:dyDescent="0.35">
      <c r="B197" s="100"/>
      <c r="C197" s="101"/>
      <c r="D197" s="103"/>
      <c r="E197" s="101"/>
      <c r="F197" s="3" t="s">
        <v>6</v>
      </c>
      <c r="G197" s="21"/>
      <c r="H197" s="21"/>
      <c r="I197" s="21"/>
      <c r="J197" s="21"/>
      <c r="K197" s="21"/>
      <c r="L197" s="21"/>
      <c r="M197" s="21"/>
      <c r="N197" s="21"/>
      <c r="O197" s="21"/>
      <c r="P197" s="21"/>
      <c r="Q197" s="21"/>
      <c r="R197" s="2">
        <f>IF($C$25&gt;=R193-10,$C$29,0)*$D$195</f>
        <v>0</v>
      </c>
      <c r="S197" s="2">
        <f t="shared" ref="S197:S204" si="111">SUM(G197:R197)</f>
        <v>0</v>
      </c>
      <c r="T197" s="24"/>
      <c r="U197" s="2">
        <f t="shared" si="110"/>
        <v>0</v>
      </c>
      <c r="W197" s="2">
        <f>D195*$C$37</f>
        <v>0</v>
      </c>
    </row>
    <row r="198" spans="2:23" x14ac:dyDescent="0.35">
      <c r="B198" s="100"/>
      <c r="C198" s="101"/>
      <c r="D198" s="103"/>
      <c r="E198" s="101"/>
      <c r="F198" s="3" t="s">
        <v>7</v>
      </c>
      <c r="G198" s="21"/>
      <c r="H198" s="21"/>
      <c r="I198" s="21"/>
      <c r="J198" s="21"/>
      <c r="K198" s="21"/>
      <c r="L198" s="21"/>
      <c r="M198" s="21"/>
      <c r="N198" s="21"/>
      <c r="O198" s="21"/>
      <c r="P198" s="21"/>
      <c r="Q198" s="21"/>
      <c r="R198" s="2">
        <f>IF($C$25+11=R193,$C$38,0)*$D$195</f>
        <v>0</v>
      </c>
      <c r="S198" s="2">
        <f t="shared" si="111"/>
        <v>0</v>
      </c>
      <c r="T198" s="24"/>
      <c r="U198" s="2">
        <f t="shared" si="110"/>
        <v>0</v>
      </c>
      <c r="W198" s="2">
        <f>D195*$C$38</f>
        <v>0</v>
      </c>
    </row>
    <row r="199" spans="2:23" x14ac:dyDescent="0.35">
      <c r="B199" s="100"/>
      <c r="C199" s="101"/>
      <c r="D199" s="103"/>
      <c r="E199" s="101"/>
      <c r="F199" s="3" t="s">
        <v>8</v>
      </c>
      <c r="G199" s="21"/>
      <c r="H199" s="21"/>
      <c r="I199" s="21"/>
      <c r="J199" s="21"/>
      <c r="K199" s="21"/>
      <c r="L199" s="21"/>
      <c r="M199" s="21"/>
      <c r="N199" s="21"/>
      <c r="O199" s="21"/>
      <c r="P199" s="21"/>
      <c r="Q199" s="21"/>
      <c r="R199" s="2">
        <f>IF($C$25&gt;=R193-10,$C$29,0)*$E$195</f>
        <v>0</v>
      </c>
      <c r="S199" s="2">
        <f t="shared" si="111"/>
        <v>0</v>
      </c>
      <c r="T199" s="24"/>
      <c r="U199" s="2">
        <f t="shared" si="110"/>
        <v>0</v>
      </c>
      <c r="W199" s="2">
        <f>E195*$C$37</f>
        <v>0</v>
      </c>
    </row>
    <row r="200" spans="2:23" x14ac:dyDescent="0.35">
      <c r="B200" s="100"/>
      <c r="C200" s="101"/>
      <c r="D200" s="103"/>
      <c r="E200" s="101"/>
      <c r="F200" s="3" t="s">
        <v>9</v>
      </c>
      <c r="G200" s="21"/>
      <c r="H200" s="21"/>
      <c r="I200" s="21"/>
      <c r="J200" s="21"/>
      <c r="K200" s="21"/>
      <c r="L200" s="21"/>
      <c r="M200" s="21"/>
      <c r="N200" s="21"/>
      <c r="O200" s="21"/>
      <c r="P200" s="21"/>
      <c r="Q200" s="21"/>
      <c r="R200" s="2">
        <f>IF($C$25+11=R193,$C$38,0)*$E$195</f>
        <v>0</v>
      </c>
      <c r="S200" s="2">
        <f t="shared" si="111"/>
        <v>0</v>
      </c>
      <c r="T200" s="24"/>
      <c r="U200" s="2">
        <f t="shared" si="110"/>
        <v>0</v>
      </c>
      <c r="W200" s="2">
        <f>E195*$C$38</f>
        <v>0</v>
      </c>
    </row>
    <row r="201" spans="2:23" x14ac:dyDescent="0.35">
      <c r="B201" s="100"/>
      <c r="C201" s="101"/>
      <c r="D201" s="103"/>
      <c r="E201" s="101"/>
      <c r="F201" s="3" t="s">
        <v>14</v>
      </c>
      <c r="G201" s="18"/>
      <c r="H201" s="18"/>
      <c r="I201" s="21"/>
      <c r="J201" s="22"/>
      <c r="K201" s="22"/>
      <c r="L201" s="22"/>
      <c r="M201" s="22"/>
      <c r="N201" s="22"/>
      <c r="O201" s="22"/>
      <c r="P201" s="22"/>
      <c r="Q201" s="22"/>
      <c r="R201" s="22"/>
      <c r="S201" s="2">
        <f t="shared" si="111"/>
        <v>0</v>
      </c>
      <c r="T201" s="20"/>
      <c r="U201" s="2">
        <f>(C195+D195)*$C$30/2</f>
        <v>0</v>
      </c>
      <c r="W201" s="2">
        <f>(C195+D195)*$C$30</f>
        <v>0</v>
      </c>
    </row>
    <row r="202" spans="2:23" x14ac:dyDescent="0.35">
      <c r="B202" s="100"/>
      <c r="C202" s="101"/>
      <c r="D202" s="103"/>
      <c r="E202" s="101"/>
      <c r="F202" s="3" t="s">
        <v>15</v>
      </c>
      <c r="G202" s="18"/>
      <c r="H202" s="18"/>
      <c r="I202" s="21"/>
      <c r="J202" s="22"/>
      <c r="K202" s="22"/>
      <c r="L202" s="22"/>
      <c r="M202" s="22"/>
      <c r="N202" s="22"/>
      <c r="O202" s="22"/>
      <c r="P202" s="22"/>
      <c r="Q202" s="22"/>
      <c r="R202" s="22"/>
      <c r="S202" s="2">
        <f t="shared" si="111"/>
        <v>0</v>
      </c>
      <c r="T202" s="20"/>
      <c r="U202" s="2">
        <f>(C195+D195)*$C$31/2</f>
        <v>0</v>
      </c>
      <c r="W202" s="2">
        <f>(C195+D195)*$C$31</f>
        <v>0</v>
      </c>
    </row>
    <row r="203" spans="2:23" x14ac:dyDescent="0.35">
      <c r="B203" s="100"/>
      <c r="C203" s="101"/>
      <c r="D203" s="103"/>
      <c r="E203" s="101"/>
      <c r="F203" s="3" t="s">
        <v>22</v>
      </c>
      <c r="G203" s="21"/>
      <c r="H203" s="21"/>
      <c r="I203" s="21"/>
      <c r="J203" s="21"/>
      <c r="K203" s="21"/>
      <c r="L203" s="21"/>
      <c r="M203" s="21"/>
      <c r="N203" s="21"/>
      <c r="O203" s="21"/>
      <c r="P203" s="21"/>
      <c r="Q203" s="21"/>
      <c r="R203" s="2">
        <f>IF($C$25&gt;=R193-10,$C$33,0)*($C$195+$D$195)</f>
        <v>0</v>
      </c>
      <c r="S203" s="2">
        <f t="shared" si="111"/>
        <v>0</v>
      </c>
      <c r="T203" s="20"/>
      <c r="U203" s="19">
        <f>W203-S203</f>
        <v>0</v>
      </c>
      <c r="W203" s="2">
        <f>(C195+D195)*($C$32*0.8)</f>
        <v>0</v>
      </c>
    </row>
    <row r="204" spans="2:23" x14ac:dyDescent="0.35">
      <c r="B204" s="100"/>
      <c r="C204" s="101"/>
      <c r="D204" s="104"/>
      <c r="E204" s="101"/>
      <c r="F204" s="3" t="s">
        <v>23</v>
      </c>
      <c r="G204" s="21"/>
      <c r="H204" s="21"/>
      <c r="I204" s="21"/>
      <c r="J204" s="21"/>
      <c r="K204" s="21"/>
      <c r="L204" s="21"/>
      <c r="M204" s="21"/>
      <c r="N204" s="21"/>
      <c r="O204" s="21"/>
      <c r="P204" s="21"/>
      <c r="Q204" s="21"/>
      <c r="R204" s="2">
        <f>IF($C$25+1=R193-10,$C$34,0)*($C$195+$D$195)</f>
        <v>0</v>
      </c>
      <c r="S204" s="2">
        <f t="shared" si="111"/>
        <v>0</v>
      </c>
      <c r="T204" s="20"/>
      <c r="U204" s="2">
        <f>W204-S204</f>
        <v>0</v>
      </c>
      <c r="V204" s="20"/>
      <c r="W204" s="2">
        <f>(C195+D195)*$C$34</f>
        <v>0</v>
      </c>
    </row>
  </sheetData>
  <mergeCells count="56">
    <mergeCell ref="B195:B204"/>
    <mergeCell ref="C195:C204"/>
    <mergeCell ref="D195:D204"/>
    <mergeCell ref="E195:E204"/>
    <mergeCell ref="B169:B178"/>
    <mergeCell ref="C169:C178"/>
    <mergeCell ref="D169:D178"/>
    <mergeCell ref="E169:E178"/>
    <mergeCell ref="B182:B191"/>
    <mergeCell ref="C182:C191"/>
    <mergeCell ref="D182:D191"/>
    <mergeCell ref="E182:E191"/>
    <mergeCell ref="B143:B152"/>
    <mergeCell ref="C143:C152"/>
    <mergeCell ref="D143:D152"/>
    <mergeCell ref="E143:E152"/>
    <mergeCell ref="B156:B165"/>
    <mergeCell ref="C156:C165"/>
    <mergeCell ref="D156:D165"/>
    <mergeCell ref="E156:E165"/>
    <mergeCell ref="B117:B126"/>
    <mergeCell ref="C117:C126"/>
    <mergeCell ref="D117:D126"/>
    <mergeCell ref="E117:E126"/>
    <mergeCell ref="B130:B139"/>
    <mergeCell ref="C130:C139"/>
    <mergeCell ref="D130:D139"/>
    <mergeCell ref="E130:E139"/>
    <mergeCell ref="B91:B100"/>
    <mergeCell ref="C91:C100"/>
    <mergeCell ref="D91:D100"/>
    <mergeCell ref="E91:E100"/>
    <mergeCell ref="B104:B113"/>
    <mergeCell ref="C104:C113"/>
    <mergeCell ref="D104:D113"/>
    <mergeCell ref="E104:E113"/>
    <mergeCell ref="B65:B74"/>
    <mergeCell ref="C65:C74"/>
    <mergeCell ref="D65:D74"/>
    <mergeCell ref="E65:E74"/>
    <mergeCell ref="B78:B87"/>
    <mergeCell ref="C78:C87"/>
    <mergeCell ref="D78:D87"/>
    <mergeCell ref="E78:E87"/>
    <mergeCell ref="C21:D21"/>
    <mergeCell ref="F27:G27"/>
    <mergeCell ref="B52:B61"/>
    <mergeCell ref="C52:C61"/>
    <mergeCell ref="D52:D61"/>
    <mergeCell ref="E52:E61"/>
    <mergeCell ref="B1:W1"/>
    <mergeCell ref="B2:W2"/>
    <mergeCell ref="B4:W4"/>
    <mergeCell ref="E7:E9"/>
    <mergeCell ref="E10:E12"/>
    <mergeCell ref="E13:E15"/>
  </mergeCells>
  <printOptions horizontalCentered="1"/>
  <pageMargins left="0.51181102362204722" right="0.51181102362204722" top="0.94488188976377963" bottom="0.74803149606299213" header="0.31496062992125984" footer="0.31496062992125984"/>
  <pageSetup paperSize="9" scale="28"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Funding-calc-non-levy</vt:lpstr>
      <vt:lpstr>Employer</vt:lpstr>
      <vt:lpstr>Employer!Print_Area</vt:lpstr>
      <vt:lpstr>'Funding-calc-non-levy'!Print_Area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NickLinford</dc:creator>
  <cp:lastModifiedBy>Nick Linford</cp:lastModifiedBy>
  <cp:lastPrinted>2018-08-21T21:10:13Z</cp:lastPrinted>
  <dcterms:created xsi:type="dcterms:W3CDTF">2017-08-08T16:51:39Z</dcterms:created>
  <dcterms:modified xsi:type="dcterms:W3CDTF">2018-08-23T07:38:25Z</dcterms:modified>
</cp:coreProperties>
</file>